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drawings/drawing2.xml" ContentType="application/vnd.openxmlformats-officedocument.drawing+xml"/>
  <Override PartName="/xl/ink/ink5.xml" ContentType="application/inkml+xml"/>
  <Override PartName="/xl/ink/ink6.xml" ContentType="application/inkml+xml"/>
  <Override PartName="/xl/ink/ink7.xml" ContentType="application/inkml+xml"/>
  <Override PartName="/xl/drawings/drawing3.xml" ContentType="application/vnd.openxmlformats-officedocument.drawing+xml"/>
  <Override PartName="/xl/ink/ink8.xml" ContentType="application/inkml+xml"/>
  <Override PartName="/xl/drawings/drawing4.xml" ContentType="application/vnd.openxmlformats-officedocument.drawing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drawings/drawing5.xml" ContentType="application/vnd.openxmlformats-officedocument.drawing+xml"/>
  <Override PartName="/xl/ink/ink13.xml" ContentType="application/inkml+xml"/>
  <Override PartName="/xl/ink/ink14.xml" ContentType="application/inkml+xml"/>
  <Override PartName="/xl/ink/ink15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f\Documents\Göta\2021\Budget\"/>
    </mc:Choice>
  </mc:AlternateContent>
  <xr:revisionPtr revIDLastSave="0" documentId="13_ncr:1_{22044034-AB10-4667-82A0-1108C13B5A8C}" xr6:coauthVersionLast="46" xr6:coauthVersionMax="46" xr10:uidLastSave="{00000000-0000-0000-0000-000000000000}"/>
  <bookViews>
    <workbookView xWindow="-93" yWindow="-93" windowWidth="25786" windowHeight="13986" xr2:uid="{00000000-000D-0000-FFFF-FFFF00000000}"/>
  </bookViews>
  <sheets>
    <sheet name="balans 2020" sheetId="11" r:id="rId1"/>
    <sheet name=" res20 budget 2021" sheetId="10" r:id="rId2"/>
    <sheet name="Varv" sheetId="1" r:id="rId3"/>
    <sheet name="styrelse" sheetId="8" r:id="rId4"/>
    <sheet name="Hamn" sheetId="2" r:id="rId5"/>
    <sheet name="Redaktion" sheetId="7" r:id="rId6"/>
    <sheet name="Långholmen" sheetId="3" r:id="rId7"/>
    <sheet name="Jungfrun" sheetId="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D19" i="3"/>
  <c r="C19" i="3"/>
  <c r="B16" i="3"/>
  <c r="A16" i="3"/>
  <c r="B15" i="3"/>
  <c r="A15" i="3"/>
  <c r="B14" i="3"/>
  <c r="A14" i="3"/>
  <c r="B13" i="3"/>
  <c r="A13" i="3"/>
  <c r="B12" i="3"/>
  <c r="A12" i="3"/>
  <c r="E9" i="3"/>
  <c r="D9" i="3"/>
  <c r="C9" i="3"/>
  <c r="B8" i="3"/>
  <c r="A8" i="3"/>
  <c r="B7" i="3"/>
  <c r="A7" i="3"/>
  <c r="B6" i="3"/>
  <c r="A6" i="3"/>
  <c r="B5" i="3"/>
  <c r="A5" i="3"/>
  <c r="B4" i="3"/>
  <c r="A4" i="3"/>
  <c r="N47" i="10"/>
  <c r="C70" i="10"/>
  <c r="C66" i="10"/>
  <c r="D70" i="10"/>
  <c r="D66" i="10"/>
  <c r="D73" i="10" s="1"/>
  <c r="D75" i="10" s="1"/>
  <c r="C58" i="10"/>
  <c r="C73" i="10" s="1"/>
  <c r="D58" i="10"/>
  <c r="D21" i="10"/>
  <c r="C21" i="10"/>
  <c r="C75" i="10" s="1"/>
  <c r="B20" i="4"/>
  <c r="A4" i="4"/>
  <c r="B4" i="4"/>
  <c r="A5" i="4"/>
  <c r="B5" i="4"/>
  <c r="C6" i="4"/>
  <c r="D6" i="4"/>
  <c r="E6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C22" i="4"/>
  <c r="D22" i="4"/>
  <c r="E22" i="4"/>
  <c r="A5" i="7"/>
  <c r="A6" i="7"/>
  <c r="B6" i="7"/>
  <c r="A7" i="7"/>
  <c r="B7" i="7"/>
  <c r="C10" i="7"/>
  <c r="D10" i="7"/>
  <c r="E10" i="7"/>
  <c r="A7" i="2"/>
  <c r="B7" i="2"/>
  <c r="A8" i="2"/>
  <c r="B8" i="2"/>
  <c r="C9" i="2"/>
  <c r="D9" i="2"/>
  <c r="E9" i="2"/>
  <c r="A12" i="2"/>
  <c r="B12" i="2"/>
  <c r="A13" i="2"/>
  <c r="B13" i="2"/>
  <c r="A14" i="2"/>
  <c r="B14" i="2"/>
  <c r="A15" i="2"/>
  <c r="B15" i="2"/>
  <c r="C19" i="2"/>
  <c r="D19" i="2"/>
  <c r="E19" i="2"/>
  <c r="A5" i="8"/>
  <c r="B5" i="8"/>
  <c r="A6" i="8"/>
  <c r="B6" i="8"/>
  <c r="A7" i="8"/>
  <c r="B7" i="8"/>
  <c r="A8" i="8"/>
  <c r="B8" i="8"/>
  <c r="A9" i="8"/>
  <c r="B9" i="8"/>
  <c r="A10" i="8"/>
  <c r="B10" i="8"/>
  <c r="C11" i="8"/>
  <c r="D11" i="8"/>
  <c r="E11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4" i="8"/>
  <c r="C24" i="8"/>
  <c r="C29" i="8"/>
  <c r="D24" i="8"/>
  <c r="D29" i="8"/>
  <c r="E24" i="8"/>
  <c r="E29" i="8" s="1"/>
  <c r="A26" i="8"/>
  <c r="B26" i="8"/>
  <c r="A6" i="1"/>
  <c r="B6" i="1"/>
  <c r="A7" i="1"/>
  <c r="A8" i="1"/>
  <c r="B8" i="1"/>
  <c r="C9" i="1"/>
  <c r="D9" i="1"/>
  <c r="E9" i="1"/>
  <c r="A12" i="1"/>
  <c r="B12" i="1"/>
  <c r="A13" i="1"/>
  <c r="B13" i="1"/>
  <c r="A14" i="1"/>
  <c r="B14" i="1"/>
  <c r="A15" i="1"/>
  <c r="B15" i="1"/>
  <c r="A16" i="1"/>
  <c r="A17" i="1"/>
  <c r="A18" i="1"/>
  <c r="B18" i="1"/>
  <c r="C21" i="1"/>
  <c r="D21" i="1"/>
  <c r="A5" i="10"/>
  <c r="B5" i="10"/>
  <c r="A6" i="10"/>
  <c r="B6" i="10"/>
  <c r="A7" i="10"/>
  <c r="B7" i="10"/>
  <c r="A8" i="10"/>
  <c r="B8" i="10"/>
  <c r="A9" i="10"/>
  <c r="B9" i="10"/>
  <c r="A10" i="10"/>
  <c r="B10" i="10"/>
  <c r="A11" i="10"/>
  <c r="B11" i="10"/>
  <c r="A12" i="10"/>
  <c r="B12" i="10"/>
  <c r="A13" i="10"/>
  <c r="B13" i="10"/>
  <c r="A14" i="10"/>
  <c r="B14" i="10"/>
  <c r="A15" i="10"/>
  <c r="B15" i="10"/>
  <c r="A16" i="10"/>
  <c r="B16" i="10"/>
  <c r="A17" i="10"/>
  <c r="B17" i="10"/>
  <c r="A18" i="10"/>
  <c r="B18" i="10"/>
  <c r="A19" i="10"/>
  <c r="B19" i="10"/>
  <c r="A20" i="10"/>
  <c r="B20" i="10"/>
  <c r="E21" i="10"/>
  <c r="F21" i="10"/>
  <c r="F27" i="10"/>
  <c r="A33" i="10"/>
  <c r="B33" i="10"/>
  <c r="A34" i="10"/>
  <c r="B34" i="10"/>
  <c r="A35" i="10"/>
  <c r="B35" i="10"/>
  <c r="A36" i="10"/>
  <c r="B36" i="10"/>
  <c r="A37" i="10"/>
  <c r="B37" i="10"/>
  <c r="A38" i="10"/>
  <c r="B38" i="10"/>
  <c r="A39" i="10"/>
  <c r="B39" i="10"/>
  <c r="A40" i="10"/>
  <c r="B40" i="10"/>
  <c r="A41" i="10"/>
  <c r="B41" i="10"/>
  <c r="A42" i="10"/>
  <c r="B42" i="10"/>
  <c r="A43" i="10"/>
  <c r="B43" i="10"/>
  <c r="A44" i="10"/>
  <c r="B44" i="10"/>
  <c r="A45" i="10"/>
  <c r="B45" i="10"/>
  <c r="A46" i="10"/>
  <c r="B46" i="10"/>
  <c r="A47" i="10"/>
  <c r="B47" i="10"/>
  <c r="A48" i="10"/>
  <c r="B48" i="10"/>
  <c r="A49" i="10"/>
  <c r="B49" i="10"/>
  <c r="A50" i="10"/>
  <c r="B50" i="10"/>
  <c r="A51" i="10"/>
  <c r="B51" i="10"/>
  <c r="A52" i="10"/>
  <c r="B52" i="10"/>
  <c r="A53" i="10"/>
  <c r="B53" i="10"/>
  <c r="A54" i="10"/>
  <c r="B54" i="10"/>
  <c r="A55" i="10"/>
  <c r="B55" i="10"/>
  <c r="A56" i="10"/>
  <c r="B56" i="10"/>
  <c r="A57" i="10"/>
  <c r="B57" i="10"/>
  <c r="E58" i="10"/>
  <c r="F58" i="10"/>
  <c r="B62" i="10"/>
  <c r="B63" i="10"/>
  <c r="B64" i="10"/>
  <c r="E66" i="10"/>
  <c r="E73" i="10" s="1"/>
  <c r="F66" i="10"/>
  <c r="A68" i="10"/>
  <c r="B68" i="10"/>
  <c r="E70" i="10"/>
  <c r="F70" i="10"/>
  <c r="E21" i="1" l="1"/>
  <c r="E75" i="10"/>
  <c r="F73" i="10"/>
  <c r="F75" i="10" s="1"/>
</calcChain>
</file>

<file path=xl/sharedStrings.xml><?xml version="1.0" encoding="utf-8"?>
<sst xmlns="http://schemas.openxmlformats.org/spreadsheetml/2006/main" count="318" uniqueCount="199">
  <si>
    <t xml:space="preserve">Summa intäkter </t>
  </si>
  <si>
    <t xml:space="preserve">Intäkter </t>
  </si>
  <si>
    <t>VARV</t>
  </si>
  <si>
    <t xml:space="preserve">Summa Utgifter </t>
  </si>
  <si>
    <t>Not</t>
  </si>
  <si>
    <t xml:space="preserve">Förklaringar </t>
  </si>
  <si>
    <t>Not 1</t>
  </si>
  <si>
    <t>Not 2</t>
  </si>
  <si>
    <t>Not 3</t>
  </si>
  <si>
    <t>Not 4</t>
  </si>
  <si>
    <t>Uppoch sjösätt av.</t>
  </si>
  <si>
    <t>Utgifter</t>
  </si>
  <si>
    <t xml:space="preserve">Långholmen </t>
  </si>
  <si>
    <t>Intäkter</t>
  </si>
  <si>
    <t>Hamn</t>
  </si>
  <si>
    <t>Hyra Spinnhuset</t>
  </si>
  <si>
    <t>Summa Utgifter</t>
  </si>
  <si>
    <t>Jungfrun</t>
  </si>
  <si>
    <t>Summa Intäkter</t>
  </si>
  <si>
    <t>Summa avskrivningar</t>
  </si>
  <si>
    <t>Resultat</t>
  </si>
  <si>
    <t>Summa Bankkost</t>
  </si>
  <si>
    <t>Redaktion</t>
  </si>
  <si>
    <t>Not 5</t>
  </si>
  <si>
    <t xml:space="preserve">Telefonkåken repareras efter brand </t>
  </si>
  <si>
    <t xml:space="preserve">Städmtrl Spinnhuset  Färg Klotter, div </t>
  </si>
  <si>
    <t>Summa intäkter</t>
  </si>
  <si>
    <t>Elförbrukning</t>
  </si>
  <si>
    <t>"Sophämtning" container</t>
  </si>
  <si>
    <t>Eventuella kommande reparationer som</t>
  </si>
  <si>
    <t>Punkteringar , bärgning m.m.</t>
  </si>
  <si>
    <t>Trycksaker/arkivering</t>
  </si>
  <si>
    <t>Förbrukningsinventarier/mtr</t>
  </si>
  <si>
    <t>Styrelsen</t>
  </si>
  <si>
    <t xml:space="preserve">Not 4 </t>
  </si>
  <si>
    <t>Budget</t>
  </si>
  <si>
    <t>Övriga kostnader</t>
  </si>
  <si>
    <t>Drivmedel</t>
  </si>
  <si>
    <t>Investeringar</t>
  </si>
  <si>
    <t xml:space="preserve">Not </t>
  </si>
  <si>
    <t>Övriga kostnader:</t>
  </si>
  <si>
    <t xml:space="preserve">Gemensamma luncher, middagar osv </t>
  </si>
  <si>
    <t xml:space="preserve">Bredband </t>
  </si>
  <si>
    <t>Försäkring traktor</t>
  </si>
  <si>
    <t>Övriga kostnder</t>
  </si>
  <si>
    <t>Medlemsrepresentation</t>
  </si>
  <si>
    <t>Minaritplattor baksida mastskjul</t>
  </si>
  <si>
    <r>
      <rPr>
        <b/>
        <sz val="12"/>
        <color indexed="8"/>
        <rFont val="Verdana"/>
        <family val="2"/>
      </rPr>
      <t>Intäkter</t>
    </r>
    <r>
      <rPr>
        <sz val="12"/>
        <color indexed="8"/>
        <rFont val="Verdana"/>
        <family val="2"/>
      </rPr>
      <t xml:space="preserve"> </t>
    </r>
  </si>
  <si>
    <t xml:space="preserve">Förlust </t>
  </si>
  <si>
    <t>Budg.2020</t>
  </si>
  <si>
    <t>Resultat 2019 och budget 2020 Göta segelsällskap</t>
  </si>
  <si>
    <t xml:space="preserve">Ny motor till transportbåten </t>
  </si>
  <si>
    <t>arrende 4987kvm*</t>
  </si>
  <si>
    <t xml:space="preserve">Ny datormed programvara </t>
  </si>
  <si>
    <t>Budget hamn 2020</t>
  </si>
  <si>
    <t xml:space="preserve">Utbyte av nyckelsystem </t>
  </si>
  <si>
    <t>ny sling på vagnen och nya däck</t>
  </si>
  <si>
    <t>bojkoll</t>
  </si>
  <si>
    <t>Vattenslangar?</t>
  </si>
  <si>
    <t xml:space="preserve"> </t>
  </si>
  <si>
    <t>budg, 2020</t>
  </si>
  <si>
    <t>Res 2020</t>
  </si>
  <si>
    <t>budg. 2021</t>
  </si>
  <si>
    <t xml:space="preserve">Ny sling på vagn sköts upp då kostnadsläget </t>
  </si>
  <si>
    <t xml:space="preserve">blev svårbedömt pga av brand och jubileum </t>
  </si>
  <si>
    <t xml:space="preserve">Nytt kommunikations system </t>
  </si>
  <si>
    <t xml:space="preserve">Ingen kommittéfest iår heller </t>
  </si>
  <si>
    <t xml:space="preserve">Ligger i varvsavgiften </t>
  </si>
  <si>
    <t>Budget varv 2021</t>
  </si>
  <si>
    <t>traktor kostade 48675kr i reparationer</t>
  </si>
  <si>
    <t>Förklaringar budget 2020</t>
  </si>
  <si>
    <t xml:space="preserve">Arrendeavgiften är hälften av totala arrendet </t>
  </si>
  <si>
    <t>Bryggbelysning tillkom</t>
  </si>
  <si>
    <t xml:space="preserve">Intäkterna beräknas till </t>
  </si>
  <si>
    <t>100000 kr.</t>
  </si>
  <si>
    <t>Lagning av fönster; 11443 kr</t>
  </si>
  <si>
    <t xml:space="preserve">Trädfällning;  21875 kr.  </t>
  </si>
  <si>
    <t>Pumpar; 37860 kr (ny och lagad)</t>
  </si>
  <si>
    <t>Rekordår</t>
  </si>
  <si>
    <t xml:space="preserve">högtrycktvätt,röjsåg,router,kamera </t>
  </si>
  <si>
    <t>målarfärg, virke, m.m</t>
  </si>
  <si>
    <t xml:space="preserve">billigare </t>
  </si>
  <si>
    <t xml:space="preserve">50000 kr bokförd som inventarie </t>
  </si>
  <si>
    <t xml:space="preserve">avskrivsmed  5000kr per år </t>
  </si>
  <si>
    <t>Budget Jungfruholmen  2021</t>
  </si>
  <si>
    <t>Budget Långholmen  2021</t>
  </si>
  <si>
    <t>Not 6</t>
  </si>
  <si>
    <t xml:space="preserve">Avgift skåp </t>
  </si>
  <si>
    <t xml:space="preserve">Återbetalas pga brand </t>
  </si>
  <si>
    <t xml:space="preserve">Uthyrning spinnhuset </t>
  </si>
  <si>
    <t>övriga kostnader</t>
  </si>
  <si>
    <t>Budget Styrelsen  2021</t>
  </si>
  <si>
    <t xml:space="preserve"> Reserv oförutsett 13000</t>
  </si>
  <si>
    <t xml:space="preserve">Funkfest 12 000, , </t>
  </si>
  <si>
    <t xml:space="preserve"> Jubileumsfest Göta 275000</t>
  </si>
  <si>
    <t xml:space="preserve">Mat styrelsemöt. 6000 </t>
  </si>
  <si>
    <t>Medlemsrepensation mm</t>
  </si>
  <si>
    <t>Avgift klubbarbete</t>
  </si>
  <si>
    <t xml:space="preserve">Förseningsavgift </t>
  </si>
  <si>
    <t xml:space="preserve">Är ej tillämpade </t>
  </si>
  <si>
    <t>försäkringsskador 18500</t>
  </si>
  <si>
    <t xml:space="preserve">ej uttaget </t>
  </si>
  <si>
    <t xml:space="preserve">tavlor koner 7000  och uppvaktning 4500 </t>
  </si>
  <si>
    <t xml:space="preserve">ej genomförd </t>
  </si>
  <si>
    <t xml:space="preserve">genomfört </t>
  </si>
  <si>
    <t>Uppskjutet</t>
  </si>
  <si>
    <t xml:space="preserve">Nytt plank vid brandplats </t>
  </si>
  <si>
    <t>En kvartalhyra betalades 2019</t>
  </si>
  <si>
    <t xml:space="preserve">Ej uthyrt pga corona </t>
  </si>
  <si>
    <t>Resultat 2019 ,2020 och budget 2021 Göta segelsällskap</t>
  </si>
  <si>
    <t>Budg.2021</t>
  </si>
  <si>
    <t>Budget Redaktion2021</t>
  </si>
  <si>
    <t>Götakryssaren</t>
  </si>
  <si>
    <t xml:space="preserve">Porto utskick </t>
  </si>
  <si>
    <t>Kommentarer resultat 2020</t>
  </si>
  <si>
    <t>Kommentarer resultat  2020</t>
  </si>
  <si>
    <t xml:space="preserve">Röda mastskjulet </t>
  </si>
  <si>
    <t>Förklaringar budget 2021</t>
  </si>
  <si>
    <t>arrende varvsplanen</t>
  </si>
  <si>
    <t>Not 2       Viss ombyggnad ab vagnen för att testa med sling mellan bommarna samt</t>
  </si>
  <si>
    <t>stor servicegenomgång av traktorn. En. offert från Kalmar 23000:- excl moms</t>
  </si>
  <si>
    <t xml:space="preserve">Modifiering av draget på traktorn säkerhetsstaket på vagnen </t>
  </si>
  <si>
    <t>Punkteringar, bärgningar m.m.</t>
  </si>
  <si>
    <t xml:space="preserve">Komplettering hörlurar till kommunikationssystemet  </t>
  </si>
  <si>
    <t>Övriga kostnader bl.a. medlemsrepresentation</t>
  </si>
  <si>
    <t>Avgift klubbarbete :  0</t>
  </si>
  <si>
    <t>Förseningsavgift : 0</t>
  </si>
  <si>
    <t>Ordf beslut : 10 000</t>
  </si>
  <si>
    <t xml:space="preserve"> Jubileumsfest Göta 75000</t>
  </si>
  <si>
    <t>Kommentarer resultat 2021</t>
  </si>
  <si>
    <t>Hälften av skåpen har brunnit upp</t>
  </si>
  <si>
    <t xml:space="preserve">minskning pg av corona </t>
  </si>
  <si>
    <t xml:space="preserve">Full årshyra </t>
  </si>
  <si>
    <t>Avsatt till nytt mastskjul : 300 000</t>
  </si>
  <si>
    <t>Roddarskjulet brandskydd : 10 000</t>
  </si>
  <si>
    <t>verkstad, roddarhus  15 000</t>
  </si>
  <si>
    <t xml:space="preserve">Repensentation kommitté </t>
  </si>
  <si>
    <t>100 0000 kr.</t>
  </si>
  <si>
    <t>Trädvård 10 000</t>
  </si>
  <si>
    <t>Underhåll av kajer : 10 000</t>
  </si>
  <si>
    <t>Mrtl mål KL hus  : 20 000</t>
  </si>
  <si>
    <t>Kompost: 10 000</t>
  </si>
  <si>
    <t>Utediskbänk, husgeråd, klubbhuset ; 5 000</t>
  </si>
  <si>
    <t>Reservdelar, bastuagg.:3 000</t>
  </si>
  <si>
    <t>Material, målning av bro: 2 000</t>
  </si>
  <si>
    <t>Övriga kostnader: 10 000</t>
  </si>
  <si>
    <t xml:space="preserve">Gemens luncher, middagar osv </t>
  </si>
  <si>
    <t xml:space="preserve">not 3 </t>
  </si>
  <si>
    <t>Miljö kommitté represt :4000</t>
  </si>
  <si>
    <t xml:space="preserve">Göta Segelsällskap Balans </t>
  </si>
  <si>
    <t>Period: 20-01-01 - 20-12-32</t>
  </si>
  <si>
    <t>Resultatenhet: Hela föreningen</t>
  </si>
  <si>
    <t>Ing balans</t>
  </si>
  <si>
    <t>Period</t>
  </si>
  <si>
    <t>Utg balans</t>
  </si>
  <si>
    <t>TILLGÅNGAR</t>
  </si>
  <si>
    <t>Anläggningstillgångar</t>
  </si>
  <si>
    <t>Materiella anläggningstillgångar</t>
  </si>
  <si>
    <t>1910</t>
  </si>
  <si>
    <t xml:space="preserve">Byggnader  (På Ljungfruholmarna) </t>
  </si>
  <si>
    <t>1919</t>
  </si>
  <si>
    <t>Ackumulerade avskrivningar på byggnader</t>
  </si>
  <si>
    <t>1960</t>
  </si>
  <si>
    <t>Skattekonto</t>
  </si>
  <si>
    <t>1680</t>
  </si>
  <si>
    <t>förskott  Ljungfruholmarna &amp; uppvaktning)</t>
  </si>
  <si>
    <t>1930</t>
  </si>
  <si>
    <t>Maskiner och inventarier (båtmotor)</t>
  </si>
  <si>
    <t>1939</t>
  </si>
  <si>
    <t>Ackumulerade avskrivningar på maskiner</t>
  </si>
  <si>
    <t>S:a Materiella anläggningstillgångar</t>
  </si>
  <si>
    <t>S:a Anläggningstillgångar</t>
  </si>
  <si>
    <t>1511</t>
  </si>
  <si>
    <t>Förutbetalda kostnader</t>
  </si>
  <si>
    <t xml:space="preserve">Hyra spinnh. Arrende 1/2varv.Kost brand </t>
  </si>
  <si>
    <t>Fordringar</t>
  </si>
  <si>
    <t>Kassa och bank</t>
  </si>
  <si>
    <t>1040</t>
  </si>
  <si>
    <t>Bankkonto Nordea</t>
  </si>
  <si>
    <t>S:a Omsättningstillgångar</t>
  </si>
  <si>
    <t>S:A TILLGÅNGAR</t>
  </si>
  <si>
    <t>EGET KAPITAL, AVSÄTTNINGAR OCH SKULDER</t>
  </si>
  <si>
    <t>2971</t>
  </si>
  <si>
    <t>Balanserat resultat</t>
  </si>
  <si>
    <t>S:a Eget kapital</t>
  </si>
  <si>
    <t>Kortfristiga skulder</t>
  </si>
  <si>
    <t>2690</t>
  </si>
  <si>
    <t>Nyckeldepositioner (tagit bort gamla deposition)</t>
  </si>
  <si>
    <t>2352</t>
  </si>
  <si>
    <t>Förutbetalda medlemsavgifter (skuld skåphyra)</t>
  </si>
  <si>
    <t>2359</t>
  </si>
  <si>
    <t>Bottensaneringsprojektet ( Skuld länstyrelsen)</t>
  </si>
  <si>
    <t>2399</t>
  </si>
  <si>
    <t>OBS-konto ( Skuld utlägg bet 2021)</t>
  </si>
  <si>
    <t>S:a Kortfristiga skulder</t>
  </si>
  <si>
    <t>S:a Eget kapital, avsättningar och skulder</t>
  </si>
  <si>
    <t>Beräknat resultat</t>
  </si>
  <si>
    <t xml:space="preserve">Fritt Kapital </t>
  </si>
  <si>
    <t>Bank - skulder = 839 938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</si>
</sst>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sz val="18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F497D"/>
      <name val="Calibri"/>
      <family val="2"/>
      <scheme val="minor"/>
    </font>
    <font>
      <b/>
      <sz val="11"/>
      <color rgb="FF000000"/>
      <name val="Verdana"/>
      <family val="2"/>
    </font>
    <font>
      <sz val="11"/>
      <color rgb="FFFF0000"/>
      <name val="Verdana"/>
      <family val="2"/>
    </font>
    <font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Verdana"/>
      <family val="2"/>
      <charset val="1"/>
    </font>
    <font>
      <sz val="11"/>
      <color rgb="FF000000"/>
      <name val="Verdana"/>
      <family val="2"/>
      <charset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3" fontId="7" fillId="0" borderId="0" xfId="0" applyNumberFormat="1" applyFont="1"/>
    <xf numFmtId="3" fontId="7" fillId="0" borderId="35" xfId="0" applyNumberFormat="1" applyFont="1" applyBorder="1"/>
    <xf numFmtId="3" fontId="8" fillId="0" borderId="0" xfId="0" applyNumberFormat="1" applyFont="1"/>
    <xf numFmtId="3" fontId="7" fillId="0" borderId="1" xfId="0" applyNumberFormat="1" applyFont="1" applyBorder="1"/>
    <xf numFmtId="3" fontId="8" fillId="0" borderId="1" xfId="0" applyNumberFormat="1" applyFont="1" applyBorder="1"/>
    <xf numFmtId="1" fontId="8" fillId="0" borderId="2" xfId="0" applyNumberFormat="1" applyFont="1" applyBorder="1"/>
    <xf numFmtId="1" fontId="7" fillId="0" borderId="3" xfId="0" applyNumberFormat="1" applyFont="1" applyBorder="1"/>
    <xf numFmtId="1" fontId="7" fillId="0" borderId="4" xfId="0" applyNumberFormat="1" applyFont="1" applyBorder="1"/>
    <xf numFmtId="1" fontId="8" fillId="0" borderId="0" xfId="0" applyNumberFormat="1" applyFont="1"/>
    <xf numFmtId="1" fontId="7" fillId="0" borderId="0" xfId="0" applyNumberFormat="1" applyFont="1"/>
    <xf numFmtId="1" fontId="7" fillId="0" borderId="0" xfId="0" applyNumberFormat="1" applyFont="1"/>
    <xf numFmtId="1" fontId="7" fillId="0" borderId="5" xfId="0" applyNumberFormat="1" applyFont="1" applyBorder="1"/>
    <xf numFmtId="1" fontId="7" fillId="0" borderId="6" xfId="0" applyNumberFormat="1" applyFont="1" applyBorder="1"/>
    <xf numFmtId="1" fontId="7" fillId="0" borderId="7" xfId="0" applyNumberFormat="1" applyFont="1" applyBorder="1"/>
    <xf numFmtId="1" fontId="7" fillId="0" borderId="2" xfId="0" applyNumberFormat="1" applyFont="1" applyBorder="1"/>
    <xf numFmtId="1" fontId="7" fillId="0" borderId="8" xfId="0" applyNumberFormat="1" applyFont="1" applyBorder="1"/>
    <xf numFmtId="1" fontId="7" fillId="0" borderId="9" xfId="0" applyNumberFormat="1" applyFont="1" applyBorder="1"/>
    <xf numFmtId="1" fontId="7" fillId="0" borderId="1" xfId="0" applyNumberFormat="1" applyFont="1" applyBorder="1"/>
    <xf numFmtId="1" fontId="7" fillId="0" borderId="10" xfId="0" applyNumberFormat="1" applyFont="1" applyBorder="1"/>
    <xf numFmtId="1" fontId="8" fillId="0" borderId="8" xfId="0" applyNumberFormat="1" applyFont="1" applyBorder="1"/>
    <xf numFmtId="1" fontId="8" fillId="0" borderId="11" xfId="0" applyNumberFormat="1" applyFont="1" applyBorder="1"/>
    <xf numFmtId="49" fontId="0" fillId="0" borderId="0" xfId="0" applyNumberFormat="1"/>
    <xf numFmtId="3" fontId="9" fillId="0" borderId="0" xfId="0" applyNumberFormat="1" applyFont="1"/>
    <xf numFmtId="3" fontId="9" fillId="0" borderId="36" xfId="0" applyNumberFormat="1" applyFont="1" applyBorder="1"/>
    <xf numFmtId="3" fontId="9" fillId="0" borderId="35" xfId="0" applyNumberFormat="1" applyFont="1" applyBorder="1"/>
    <xf numFmtId="3" fontId="9" fillId="0" borderId="0" xfId="0" applyNumberFormat="1" applyFont="1"/>
    <xf numFmtId="3" fontId="0" fillId="0" borderId="0" xfId="0" applyNumberFormat="1"/>
    <xf numFmtId="3" fontId="7" fillId="0" borderId="0" xfId="0" applyNumberFormat="1" applyFont="1" applyAlignment="1">
      <alignment horizontal="center"/>
    </xf>
    <xf numFmtId="3" fontId="8" fillId="0" borderId="35" xfId="0" applyNumberFormat="1" applyFont="1" applyBorder="1"/>
    <xf numFmtId="49" fontId="2" fillId="2" borderId="12" xfId="0" applyNumberFormat="1" applyFont="1" applyFill="1" applyBorder="1"/>
    <xf numFmtId="1" fontId="0" fillId="2" borderId="13" xfId="0" applyNumberFormat="1" applyFill="1" applyBorder="1"/>
    <xf numFmtId="1" fontId="0" fillId="2" borderId="14" xfId="0" applyNumberFormat="1" applyFill="1" applyBorder="1"/>
    <xf numFmtId="0" fontId="0" fillId="0" borderId="0" xfId="0"/>
    <xf numFmtId="0" fontId="0" fillId="0" borderId="0" xfId="0"/>
    <xf numFmtId="49" fontId="0" fillId="2" borderId="15" xfId="0" applyNumberFormat="1" applyFill="1" applyBorder="1"/>
    <xf numFmtId="1" fontId="0" fillId="2" borderId="16" xfId="0" applyNumberForma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0" fontId="0" fillId="2" borderId="18" xfId="0" applyFill="1" applyBorder="1"/>
    <xf numFmtId="0" fontId="0" fillId="2" borderId="13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1" fontId="0" fillId="2" borderId="19" xfId="0" applyNumberFormat="1" applyFill="1" applyBorder="1"/>
    <xf numFmtId="0" fontId="0" fillId="2" borderId="19" xfId="0" applyFill="1" applyBorder="1"/>
    <xf numFmtId="49" fontId="0" fillId="2" borderId="20" xfId="0" applyNumberFormat="1" applyFill="1" applyBorder="1"/>
    <xf numFmtId="1" fontId="0" fillId="2" borderId="20" xfId="0" applyNumberFormat="1" applyFill="1" applyBorder="1"/>
    <xf numFmtId="49" fontId="0" fillId="2" borderId="21" xfId="0" applyNumberFormat="1" applyFill="1" applyBorder="1"/>
    <xf numFmtId="1" fontId="0" fillId="2" borderId="21" xfId="0" applyNumberFormat="1" applyFill="1" applyBorder="1"/>
    <xf numFmtId="0" fontId="0" fillId="2" borderId="20" xfId="0" applyFill="1" applyBorder="1"/>
    <xf numFmtId="49" fontId="2" fillId="2" borderId="22" xfId="0" applyNumberFormat="1" applyFont="1" applyFill="1" applyBorder="1"/>
    <xf numFmtId="1" fontId="0" fillId="2" borderId="23" xfId="0" applyNumberFormat="1" applyFill="1" applyBorder="1"/>
    <xf numFmtId="0" fontId="0" fillId="2" borderId="21" xfId="0" applyFill="1" applyBorder="1" applyAlignment="1">
      <alignment horizontal="left"/>
    </xf>
    <xf numFmtId="3" fontId="0" fillId="0" borderId="35" xfId="0" applyNumberFormat="1" applyBorder="1"/>
    <xf numFmtId="3" fontId="0" fillId="0" borderId="1" xfId="0" applyNumberFormat="1" applyBorder="1"/>
    <xf numFmtId="3" fontId="0" fillId="0" borderId="0" xfId="0" applyNumberFormat="1"/>
    <xf numFmtId="1" fontId="0" fillId="0" borderId="0" xfId="0" applyNumberFormat="1"/>
    <xf numFmtId="3" fontId="10" fillId="0" borderId="0" xfId="0" applyNumberFormat="1" applyFont="1"/>
    <xf numFmtId="1" fontId="7" fillId="0" borderId="0" xfId="0" applyNumberFormat="1" applyFont="1" applyAlignment="1">
      <alignment horizontal="left"/>
    </xf>
    <xf numFmtId="1" fontId="7" fillId="0" borderId="5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3" fontId="7" fillId="0" borderId="0" xfId="0" applyNumberFormat="1" applyFont="1"/>
    <xf numFmtId="49" fontId="1" fillId="2" borderId="12" xfId="0" applyNumberFormat="1" applyFont="1" applyFill="1" applyBorder="1"/>
    <xf numFmtId="1" fontId="11" fillId="0" borderId="2" xfId="0" applyNumberFormat="1" applyFont="1" applyBorder="1"/>
    <xf numFmtId="1" fontId="12" fillId="0" borderId="3" xfId="0" applyNumberFormat="1" applyFont="1" applyBorder="1"/>
    <xf numFmtId="1" fontId="12" fillId="0" borderId="4" xfId="0" applyNumberFormat="1" applyFont="1" applyBorder="1"/>
    <xf numFmtId="1" fontId="12" fillId="0" borderId="0" xfId="0" applyNumberFormat="1" applyFont="1"/>
    <xf numFmtId="1" fontId="12" fillId="0" borderId="0" xfId="0" applyNumberFormat="1" applyFont="1"/>
    <xf numFmtId="1" fontId="12" fillId="0" borderId="5" xfId="0" applyNumberFormat="1" applyFont="1" applyBorder="1"/>
    <xf numFmtId="1" fontId="12" fillId="0" borderId="6" xfId="0" applyNumberFormat="1" applyFont="1" applyBorder="1"/>
    <xf numFmtId="1" fontId="12" fillId="0" borderId="7" xfId="0" applyNumberFormat="1" applyFont="1" applyBorder="1"/>
    <xf numFmtId="1" fontId="11" fillId="0" borderId="24" xfId="0" applyNumberFormat="1" applyFont="1" applyBorder="1"/>
    <xf numFmtId="1" fontId="12" fillId="0" borderId="25" xfId="0" applyNumberFormat="1" applyFont="1" applyBorder="1"/>
    <xf numFmtId="1" fontId="12" fillId="0" borderId="9" xfId="0" applyNumberFormat="1" applyFont="1" applyBorder="1"/>
    <xf numFmtId="1" fontId="11" fillId="0" borderId="0" xfId="0" applyNumberFormat="1" applyFont="1"/>
    <xf numFmtId="1" fontId="11" fillId="0" borderId="26" xfId="0" applyNumberFormat="1" applyFont="1" applyBorder="1"/>
    <xf numFmtId="1" fontId="12" fillId="0" borderId="1" xfId="0" applyNumberFormat="1" applyFont="1" applyBorder="1"/>
    <xf numFmtId="1" fontId="12" fillId="0" borderId="10" xfId="0" applyNumberFormat="1" applyFont="1" applyBorder="1"/>
    <xf numFmtId="1" fontId="12" fillId="0" borderId="27" xfId="0" applyNumberFormat="1" applyFont="1" applyBorder="1"/>
    <xf numFmtId="1" fontId="12" fillId="0" borderId="24" xfId="0" applyNumberFormat="1" applyFont="1" applyBorder="1"/>
    <xf numFmtId="1" fontId="12" fillId="0" borderId="25" xfId="0" applyNumberFormat="1" applyFont="1" applyBorder="1" applyAlignment="1">
      <alignment horizontal="left"/>
    </xf>
    <xf numFmtId="1" fontId="12" fillId="0" borderId="28" xfId="0" applyNumberFormat="1" applyFont="1" applyBorder="1" applyAlignment="1">
      <alignment horizontal="left"/>
    </xf>
    <xf numFmtId="1" fontId="11" fillId="0" borderId="25" xfId="0" applyNumberFormat="1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3" fontId="12" fillId="0" borderId="2" xfId="0" applyNumberFormat="1" applyFont="1" applyBorder="1"/>
    <xf numFmtId="3" fontId="12" fillId="0" borderId="3" xfId="0" applyNumberFormat="1" applyFont="1" applyBorder="1"/>
    <xf numFmtId="3" fontId="12" fillId="0" borderId="4" xfId="0" applyNumberFormat="1" applyFont="1" applyBorder="1"/>
    <xf numFmtId="3" fontId="12" fillId="0" borderId="8" xfId="0" applyNumberFormat="1" applyFont="1" applyBorder="1"/>
    <xf numFmtId="3" fontId="12" fillId="0" borderId="0" xfId="0" applyNumberFormat="1" applyFont="1"/>
    <xf numFmtId="3" fontId="12" fillId="0" borderId="9" xfId="0" applyNumberFormat="1" applyFont="1" applyBorder="1"/>
    <xf numFmtId="3" fontId="11" fillId="0" borderId="11" xfId="0" applyNumberFormat="1" applyFont="1" applyBorder="1"/>
    <xf numFmtId="3" fontId="12" fillId="0" borderId="1" xfId="0" applyNumberFormat="1" applyFont="1" applyBorder="1"/>
    <xf numFmtId="3" fontId="12" fillId="0" borderId="10" xfId="0" applyNumberFormat="1" applyFont="1" applyBorder="1"/>
    <xf numFmtId="3" fontId="11" fillId="0" borderId="2" xfId="0" applyNumberFormat="1" applyFont="1" applyBorder="1"/>
    <xf numFmtId="3" fontId="12" fillId="0" borderId="5" xfId="0" applyNumberFormat="1" applyFont="1" applyBorder="1" applyAlignment="1">
      <alignment horizontal="left"/>
    </xf>
    <xf numFmtId="3" fontId="12" fillId="0" borderId="6" xfId="0" applyNumberFormat="1" applyFont="1" applyBorder="1"/>
    <xf numFmtId="3" fontId="12" fillId="0" borderId="7" xfId="0" applyNumberFormat="1" applyFont="1" applyBorder="1"/>
    <xf numFmtId="1" fontId="11" fillId="0" borderId="29" xfId="0" applyNumberFormat="1" applyFont="1" applyBorder="1"/>
    <xf numFmtId="1" fontId="12" fillId="0" borderId="0" xfId="0" applyNumberFormat="1" applyFont="1" applyAlignment="1">
      <alignment horizontal="left"/>
    </xf>
    <xf numFmtId="1" fontId="12" fillId="0" borderId="8" xfId="0" applyNumberFormat="1" applyFont="1" applyBorder="1"/>
    <xf numFmtId="1" fontId="12" fillId="0" borderId="8" xfId="0" applyNumberFormat="1" applyFont="1" applyBorder="1" applyAlignment="1">
      <alignment horizontal="left"/>
    </xf>
    <xf numFmtId="1" fontId="11" fillId="0" borderId="11" xfId="0" applyNumberFormat="1" applyFont="1" applyBorder="1"/>
    <xf numFmtId="3" fontId="12" fillId="0" borderId="5" xfId="0" applyNumberFormat="1" applyFont="1" applyBorder="1"/>
    <xf numFmtId="3" fontId="5" fillId="0" borderId="0" xfId="0" applyNumberFormat="1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2" fillId="0" borderId="0" xfId="0" applyNumberFormat="1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8" fillId="0" borderId="0" xfId="0" applyNumberFormat="1" applyFont="1"/>
    <xf numFmtId="3" fontId="7" fillId="0" borderId="0" xfId="0" applyNumberFormat="1" applyFont="1"/>
    <xf numFmtId="3" fontId="12" fillId="0" borderId="0" xfId="0" applyNumberFormat="1" applyFont="1" applyAlignment="1">
      <alignment horizontal="left"/>
    </xf>
    <xf numFmtId="3" fontId="11" fillId="0" borderId="0" xfId="0" applyNumberFormat="1" applyFont="1"/>
    <xf numFmtId="3" fontId="0" fillId="0" borderId="30" xfId="0" applyNumberFormat="1" applyBorder="1"/>
    <xf numFmtId="3" fontId="0" fillId="0" borderId="31" xfId="0" applyNumberFormat="1" applyBorder="1"/>
    <xf numFmtId="3" fontId="12" fillId="0" borderId="31" xfId="0" applyNumberFormat="1" applyFont="1" applyBorder="1"/>
    <xf numFmtId="3" fontId="9" fillId="0" borderId="0" xfId="0" applyNumberFormat="1" applyFont="1" applyBorder="1"/>
    <xf numFmtId="3" fontId="9" fillId="0" borderId="1" xfId="0" applyNumberFormat="1" applyFont="1" applyBorder="1"/>
    <xf numFmtId="3" fontId="9" fillId="0" borderId="31" xfId="0" applyNumberFormat="1" applyFont="1" applyBorder="1"/>
    <xf numFmtId="3" fontId="0" fillId="0" borderId="0" xfId="0" applyNumberFormat="1" applyBorder="1"/>
    <xf numFmtId="3" fontId="7" fillId="0" borderId="0" xfId="0" applyNumberFormat="1" applyFont="1" applyBorder="1"/>
    <xf numFmtId="3" fontId="8" fillId="0" borderId="0" xfId="0" applyNumberFormat="1" applyFont="1" applyBorder="1"/>
    <xf numFmtId="3" fontId="11" fillId="0" borderId="0" xfId="0" applyNumberFormat="1" applyFont="1" applyBorder="1"/>
    <xf numFmtId="3" fontId="6" fillId="0" borderId="0" xfId="0" applyNumberFormat="1" applyFont="1" applyBorder="1"/>
    <xf numFmtId="3" fontId="7" fillId="0" borderId="31" xfId="0" applyNumberFormat="1" applyFont="1" applyBorder="1"/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3" fontId="9" fillId="0" borderId="2" xfId="0" applyNumberFormat="1" applyFont="1" applyBorder="1"/>
    <xf numFmtId="3" fontId="9" fillId="0" borderId="3" xfId="0" applyNumberFormat="1" applyFont="1" applyBorder="1"/>
    <xf numFmtId="3" fontId="9" fillId="0" borderId="4" xfId="0" applyNumberFormat="1" applyFont="1" applyBorder="1"/>
    <xf numFmtId="3" fontId="9" fillId="0" borderId="8" xfId="0" applyNumberFormat="1" applyFont="1" applyBorder="1"/>
    <xf numFmtId="3" fontId="9" fillId="0" borderId="9" xfId="0" applyNumberFormat="1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9" fillId="0" borderId="7" xfId="0" applyNumberFormat="1" applyFont="1" applyBorder="1"/>
    <xf numFmtId="3" fontId="9" fillId="0" borderId="32" xfId="0" applyNumberFormat="1" applyFont="1" applyBorder="1"/>
    <xf numFmtId="3" fontId="9" fillId="0" borderId="33" xfId="0" applyNumberFormat="1" applyFont="1" applyBorder="1"/>
    <xf numFmtId="3" fontId="9" fillId="0" borderId="34" xfId="0" applyNumberFormat="1" applyFont="1" applyBorder="1"/>
    <xf numFmtId="3" fontId="16" fillId="0" borderId="2" xfId="0" applyNumberFormat="1" applyFont="1" applyBorder="1"/>
    <xf numFmtId="3" fontId="9" fillId="0" borderId="37" xfId="0" applyNumberFormat="1" applyFont="1" applyBorder="1"/>
    <xf numFmtId="3" fontId="9" fillId="0" borderId="10" xfId="0" applyNumberFormat="1" applyFont="1" applyBorder="1"/>
    <xf numFmtId="1" fontId="9" fillId="0" borderId="8" xfId="0" applyNumberFormat="1" applyFont="1" applyBorder="1"/>
    <xf numFmtId="3" fontId="17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1" fontId="9" fillId="0" borderId="8" xfId="0" applyNumberFormat="1" applyFont="1" applyBorder="1" applyAlignment="1">
      <alignment horizontal="left"/>
    </xf>
    <xf numFmtId="1" fontId="7" fillId="0" borderId="0" xfId="0" applyNumberFormat="1" applyFont="1" applyBorder="1"/>
    <xf numFmtId="0" fontId="7" fillId="0" borderId="8" xfId="0" applyFont="1" applyBorder="1"/>
    <xf numFmtId="0" fontId="7" fillId="0" borderId="0" xfId="0" applyFont="1" applyBorder="1"/>
    <xf numFmtId="3" fontId="12" fillId="0" borderId="2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3" fontId="12" fillId="0" borderId="0" xfId="0" applyNumberFormat="1" applyFont="1" applyBorder="1"/>
    <xf numFmtId="0" fontId="14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left"/>
    </xf>
    <xf numFmtId="0" fontId="13" fillId="0" borderId="6" xfId="0" applyFont="1" applyBorder="1" applyAlignment="1">
      <alignment vertical="center"/>
    </xf>
    <xf numFmtId="3" fontId="5" fillId="0" borderId="6" xfId="0" applyNumberFormat="1" applyFont="1" applyBorder="1"/>
    <xf numFmtId="0" fontId="13" fillId="0" borderId="5" xfId="0" applyFont="1" applyBorder="1"/>
    <xf numFmtId="3" fontId="12" fillId="0" borderId="5" xfId="0" applyNumberFormat="1" applyFont="1" applyBorder="1" applyAlignment="1">
      <alignment horizontal="center"/>
    </xf>
    <xf numFmtId="0" fontId="14" fillId="0" borderId="6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1" fontId="12" fillId="0" borderId="2" xfId="0" applyNumberFormat="1" applyFont="1" applyBorder="1"/>
    <xf numFmtId="3" fontId="19" fillId="0" borderId="0" xfId="0" applyNumberFormat="1" applyFon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49" fontId="7" fillId="0" borderId="0" xfId="0" applyNumberFormat="1" applyFont="1"/>
    <xf numFmtId="3" fontId="8" fillId="0" borderId="0" xfId="0" applyNumberFormat="1" applyFont="1" applyAlignment="1">
      <alignment horizontal="center"/>
    </xf>
    <xf numFmtId="3" fontId="20" fillId="0" borderId="8" xfId="0" applyNumberFormat="1" applyFont="1" applyBorder="1"/>
    <xf numFmtId="3" fontId="21" fillId="0" borderId="8" xfId="0" applyNumberFormat="1" applyFont="1" applyBorder="1"/>
    <xf numFmtId="3" fontId="21" fillId="0" borderId="5" xfId="0" applyNumberFormat="1" applyFont="1" applyBorder="1"/>
    <xf numFmtId="3" fontId="21" fillId="0" borderId="6" xfId="0" applyNumberFormat="1" applyFont="1" applyBorder="1"/>
    <xf numFmtId="3" fontId="21" fillId="0" borderId="0" xfId="0" applyNumberFormat="1" applyFont="1" applyBorder="1"/>
    <xf numFmtId="3" fontId="21" fillId="0" borderId="0" xfId="0" applyNumberFormat="1" applyFont="1" applyBorder="1" applyAlignment="1">
      <alignment vertical="center"/>
    </xf>
    <xf numFmtId="3" fontId="22" fillId="0" borderId="0" xfId="0" applyNumberFormat="1" applyFont="1" applyBorder="1"/>
    <xf numFmtId="0" fontId="14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left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14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9" xfId="0" applyFont="1" applyBorder="1"/>
    <xf numFmtId="0" fontId="13" fillId="0" borderId="7" xfId="0" applyFont="1" applyBorder="1" applyAlignment="1">
      <alignment vertical="center"/>
    </xf>
    <xf numFmtId="3" fontId="19" fillId="0" borderId="3" xfId="0" applyNumberFormat="1" applyFont="1" applyBorder="1"/>
    <xf numFmtId="3" fontId="19" fillId="0" borderId="2" xfId="0" applyNumberFormat="1" applyFont="1" applyBorder="1"/>
    <xf numFmtId="3" fontId="19" fillId="0" borderId="4" xfId="0" applyNumberFormat="1" applyFont="1" applyBorder="1"/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0" fillId="0" borderId="4" xfId="0" applyNumberFormat="1" applyFont="1" applyBorder="1"/>
    <xf numFmtId="1" fontId="0" fillId="0" borderId="24" xfId="0" applyNumberFormat="1" applyFont="1" applyBorder="1"/>
    <xf numFmtId="3" fontId="0" fillId="0" borderId="4" xfId="0" applyNumberFormat="1" applyFont="1" applyBorder="1"/>
    <xf numFmtId="1" fontId="0" fillId="0" borderId="0" xfId="0" applyNumberFormat="1" applyFont="1"/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/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/>
    <xf numFmtId="3" fontId="0" fillId="0" borderId="5" xfId="0" applyNumberFormat="1" applyFont="1" applyBorder="1"/>
    <xf numFmtId="3" fontId="0" fillId="0" borderId="7" xfId="0" applyNumberFormat="1" applyFont="1" applyBorder="1"/>
    <xf numFmtId="3" fontId="0" fillId="0" borderId="8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3" fontId="0" fillId="0" borderId="8" xfId="0" applyNumberFormat="1" applyFont="1" applyBorder="1"/>
    <xf numFmtId="3" fontId="0" fillId="0" borderId="0" xfId="0" applyNumberFormat="1" applyFont="1"/>
    <xf numFmtId="3" fontId="0" fillId="0" borderId="9" xfId="0" applyNumberFormat="1" applyFont="1" applyBorder="1"/>
    <xf numFmtId="3" fontId="0" fillId="0" borderId="0" xfId="0" applyNumberFormat="1" applyFont="1" applyAlignment="1">
      <alignment horizontal="left"/>
    </xf>
    <xf numFmtId="3" fontId="0" fillId="0" borderId="2" xfId="0" applyNumberFormat="1" applyFont="1" applyBorder="1"/>
    <xf numFmtId="0" fontId="0" fillId="0" borderId="7" xfId="0" applyFont="1" applyBorder="1" applyAlignment="1">
      <alignment vertical="center"/>
    </xf>
    <xf numFmtId="1" fontId="0" fillId="0" borderId="8" xfId="0" applyNumberFormat="1" applyFont="1" applyBorder="1"/>
    <xf numFmtId="0" fontId="22" fillId="0" borderId="9" xfId="0" applyFont="1" applyBorder="1"/>
    <xf numFmtId="0" fontId="22" fillId="0" borderId="7" xfId="0" applyFont="1" applyBorder="1" applyAlignment="1">
      <alignment vertical="center"/>
    </xf>
    <xf numFmtId="3" fontId="22" fillId="0" borderId="6" xfId="0" applyNumberFormat="1" applyFont="1" applyBorder="1"/>
    <xf numFmtId="0" fontId="13" fillId="0" borderId="4" xfId="0" applyFont="1" applyBorder="1" applyAlignment="1">
      <alignment vertical="center"/>
    </xf>
    <xf numFmtId="49" fontId="0" fillId="0" borderId="38" xfId="0" applyNumberFormat="1" applyBorder="1"/>
    <xf numFmtId="49" fontId="0" fillId="0" borderId="39" xfId="0" applyNumberFormat="1" applyBorder="1"/>
    <xf numFmtId="1" fontId="0" fillId="0" borderId="1" xfId="0" applyNumberFormat="1" applyBorder="1"/>
    <xf numFmtId="1" fontId="0" fillId="0" borderId="40" xfId="0" applyNumberFormat="1" applyBorder="1"/>
    <xf numFmtId="1" fontId="0" fillId="0" borderId="28" xfId="0" applyNumberFormat="1" applyBorder="1"/>
    <xf numFmtId="0" fontId="0" fillId="0" borderId="39" xfId="0" applyBorder="1"/>
    <xf numFmtId="0" fontId="0" fillId="0" borderId="30" xfId="0" applyBorder="1"/>
    <xf numFmtId="0" fontId="0" fillId="0" borderId="31" xfId="0" applyBorder="1"/>
    <xf numFmtId="1" fontId="0" fillId="0" borderId="31" xfId="0" applyNumberFormat="1" applyBorder="1"/>
    <xf numFmtId="1" fontId="0" fillId="0" borderId="41" xfId="0" applyNumberFormat="1" applyBorder="1"/>
    <xf numFmtId="0" fontId="0" fillId="0" borderId="42" xfId="0" applyBorder="1"/>
    <xf numFmtId="0" fontId="0" fillId="0" borderId="43" xfId="0" applyBorder="1"/>
    <xf numFmtId="1" fontId="0" fillId="0" borderId="43" xfId="0" applyNumberFormat="1" applyBorder="1"/>
    <xf numFmtId="1" fontId="0" fillId="0" borderId="44" xfId="0" applyNumberFormat="1" applyBorder="1"/>
    <xf numFmtId="1" fontId="6" fillId="0" borderId="2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7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5" Type="http://schemas.openxmlformats.org/officeDocument/2006/relationships/customXml" Target="../ink/ink3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6.xml"/><Relationship Id="rId2" Type="http://schemas.openxmlformats.org/officeDocument/2006/relationships/image" Target="../media/image2.png"/><Relationship Id="rId1" Type="http://schemas.openxmlformats.org/officeDocument/2006/relationships/customXml" Target="../ink/ink5.xml"/><Relationship Id="rId6" Type="http://schemas.openxmlformats.org/officeDocument/2006/relationships/image" Target="../media/image11.png"/><Relationship Id="rId5" Type="http://schemas.openxmlformats.org/officeDocument/2006/relationships/customXml" Target="../ink/ink7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ustomXml" Target="../ink/ink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customXml" Target="../ink/ink10.xml"/><Relationship Id="rId7" Type="http://schemas.openxmlformats.org/officeDocument/2006/relationships/customXml" Target="../ink/ink12.xml"/><Relationship Id="rId2" Type="http://schemas.openxmlformats.org/officeDocument/2006/relationships/image" Target="../media/image2.png"/><Relationship Id="rId1" Type="http://schemas.openxmlformats.org/officeDocument/2006/relationships/customXml" Target="../ink/ink9.xml"/><Relationship Id="rId6" Type="http://schemas.openxmlformats.org/officeDocument/2006/relationships/image" Target="../media/image10.png"/><Relationship Id="rId5" Type="http://schemas.openxmlformats.org/officeDocument/2006/relationships/customXml" Target="../ink/ink11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ustomXml" Target="../ink/ink14.xml"/><Relationship Id="rId2" Type="http://schemas.openxmlformats.org/officeDocument/2006/relationships/image" Target="../media/image2.png"/><Relationship Id="rId1" Type="http://schemas.openxmlformats.org/officeDocument/2006/relationships/customXml" Target="../ink/ink13.xml"/><Relationship Id="rId6" Type="http://schemas.openxmlformats.org/officeDocument/2006/relationships/image" Target="../media/image12.png"/><Relationship Id="rId5" Type="http://schemas.openxmlformats.org/officeDocument/2006/relationships/customXml" Target="../ink/ink15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206696</xdr:colOff>
      <xdr:row>18</xdr:row>
      <xdr:rowOff>80996</xdr:rowOff>
    </xdr:from>
    <xdr:to>
      <xdr:col>7</xdr:col>
      <xdr:colOff>207056</xdr:colOff>
      <xdr:row>18</xdr:row>
      <xdr:rowOff>81356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">
          <xdr14:nvContentPartPr>
            <xdr14:cNvPr id="4" name="Pennanteckning 3">
              <a:extLst>
                <a:ext uri="{FF2B5EF4-FFF2-40B4-BE49-F238E27FC236}">
                  <a16:creationId xmlns:a16="http://schemas.microsoft.com/office/drawing/2014/main" id="{AF371797-3817-4CBD-A37F-52F68F0F53FB}"/>
                </a:ext>
              </a:extLst>
            </xdr14:cNvPr>
            <xdr14:cNvContentPartPr/>
          </xdr14:nvContentPartPr>
          <xdr14:nvPr macro=""/>
          <xdr14:xfrm>
            <a:off x="6585120" y="3441960"/>
            <a:ext cx="360" cy="360"/>
          </xdr14:xfrm>
        </xdr:contentPart>
      </mc:Choice>
      <mc:Fallback xmlns="">
        <xdr:pic>
          <xdr:nvPicPr>
            <xdr:cNvPr id="4" name="Pennanteckning 3">
              <a:extLst>
                <a:ext uri="{FF2B5EF4-FFF2-40B4-BE49-F238E27FC236}">
                  <a16:creationId xmlns:a16="http://schemas.microsoft.com/office/drawing/2014/main" id="{AF371797-3817-4CBD-A37F-52F68F0F53F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522120" y="3063960"/>
              <a:ext cx="126000" cy="756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121343</xdr:colOff>
      <xdr:row>22</xdr:row>
      <xdr:rowOff>40517</xdr:rowOff>
    </xdr:from>
    <xdr:to>
      <xdr:col>2</xdr:col>
      <xdr:colOff>121703</xdr:colOff>
      <xdr:row>22</xdr:row>
      <xdr:rowOff>40877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5" name="Pennanteckning 14">
              <a:extLst>
                <a:ext uri="{FF2B5EF4-FFF2-40B4-BE49-F238E27FC236}">
                  <a16:creationId xmlns:a16="http://schemas.microsoft.com/office/drawing/2014/main" id="{2FA502C0-1BEE-474A-A415-69526476A24F}"/>
                </a:ext>
              </a:extLst>
            </xdr14:cNvPr>
            <xdr14:cNvContentPartPr/>
          </xdr14:nvContentPartPr>
          <xdr14:nvPr macro=""/>
          <xdr14:xfrm>
            <a:off x="4599000" y="4313160"/>
            <a:ext cx="360" cy="360"/>
          </xdr14:xfrm>
        </xdr:contentPart>
      </mc:Choice>
      <mc:Fallback xmlns="">
        <xdr:pic>
          <xdr:nvPicPr>
            <xdr:cNvPr id="15" name="Pennanteckning 14">
              <a:extLst>
                <a:ext uri="{FF2B5EF4-FFF2-40B4-BE49-F238E27FC236}">
                  <a16:creationId xmlns:a16="http://schemas.microsoft.com/office/drawing/2014/main" id="{2FA502C0-1BEE-474A-A415-69526476A24F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590000" y="4304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121343</xdr:colOff>
      <xdr:row>22</xdr:row>
      <xdr:rowOff>40517</xdr:rowOff>
    </xdr:from>
    <xdr:to>
      <xdr:col>2</xdr:col>
      <xdr:colOff>121703</xdr:colOff>
      <xdr:row>22</xdr:row>
      <xdr:rowOff>40877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Pennanteckning 5">
              <a:extLst>
                <a:ext uri="{FF2B5EF4-FFF2-40B4-BE49-F238E27FC236}">
                  <a16:creationId xmlns:a16="http://schemas.microsoft.com/office/drawing/2014/main" id="{80940FF6-6133-4D81-8556-53D9F9AED5CD}"/>
                </a:ext>
              </a:extLst>
            </xdr14:cNvPr>
            <xdr14:cNvContentPartPr/>
          </xdr14:nvContentPartPr>
          <xdr14:nvPr macro=""/>
          <xdr14:xfrm>
            <a:off x="4599000" y="4313160"/>
            <a:ext cx="360" cy="360"/>
          </xdr14:xfrm>
        </xdr:contentPart>
      </mc:Choice>
      <mc:Fallback xmlns="">
        <xdr:pic>
          <xdr:nvPicPr>
            <xdr:cNvPr id="6" name="Pennanteckning 5">
              <a:extLst>
                <a:ext uri="{FF2B5EF4-FFF2-40B4-BE49-F238E27FC236}">
                  <a16:creationId xmlns:a16="http://schemas.microsoft.com/office/drawing/2014/main" id="{80940FF6-6133-4D81-8556-53D9F9AED5CD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590000" y="4304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121343</xdr:colOff>
      <xdr:row>22</xdr:row>
      <xdr:rowOff>40517</xdr:rowOff>
    </xdr:from>
    <xdr:to>
      <xdr:col>2</xdr:col>
      <xdr:colOff>121703</xdr:colOff>
      <xdr:row>22</xdr:row>
      <xdr:rowOff>40877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5" name="Pennanteckning 4">
              <a:extLst>
                <a:ext uri="{FF2B5EF4-FFF2-40B4-BE49-F238E27FC236}">
                  <a16:creationId xmlns:a16="http://schemas.microsoft.com/office/drawing/2014/main" id="{DE225831-AAD3-476A-8038-2966DE65F329}"/>
                </a:ext>
              </a:extLst>
            </xdr14:cNvPr>
            <xdr14:cNvContentPartPr/>
          </xdr14:nvContentPartPr>
          <xdr14:nvPr macro=""/>
          <xdr14:xfrm>
            <a:off x="4599000" y="4313160"/>
            <a:ext cx="360" cy="360"/>
          </xdr14:xfrm>
        </xdr:contentPart>
      </mc:Choice>
      <mc:Fallback xmlns="">
        <xdr:pic>
          <xdr:nvPicPr>
            <xdr:cNvPr id="3" name="Pennanteckning 2">
              <a:extLst>
                <a:ext uri="{FF2B5EF4-FFF2-40B4-BE49-F238E27FC236}">
                  <a16:creationId xmlns:a16="http://schemas.microsoft.com/office/drawing/2014/main" id="{12A4F7CF-4A66-4C55-B987-02914B17E3E3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4590000" y="4304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121343</xdr:colOff>
      <xdr:row>29</xdr:row>
      <xdr:rowOff>40517</xdr:rowOff>
    </xdr:from>
    <xdr:to>
      <xdr:col>2</xdr:col>
      <xdr:colOff>121703</xdr:colOff>
      <xdr:row>29</xdr:row>
      <xdr:rowOff>40877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Pennanteckning 1">
              <a:extLst>
                <a:ext uri="{FF2B5EF4-FFF2-40B4-BE49-F238E27FC236}">
                  <a16:creationId xmlns:a16="http://schemas.microsoft.com/office/drawing/2014/main" id="{EC2F31BB-CDE2-4467-A0FA-675C8936F436}"/>
                </a:ext>
              </a:extLst>
            </xdr14:cNvPr>
            <xdr14:cNvContentPartPr/>
          </xdr14:nvContentPartPr>
          <xdr14:nvPr macro=""/>
          <xdr14:xfrm>
            <a:off x="4599000" y="4313160"/>
            <a:ext cx="360" cy="360"/>
          </xdr14:xfrm>
        </xdr:contentPart>
      </mc:Choice>
      <mc:Fallback xmlns="">
        <xdr:pic>
          <xdr:nvPicPr>
            <xdr:cNvPr id="2" name="Pennanteckning 1">
              <a:extLst>
                <a:ext uri="{FF2B5EF4-FFF2-40B4-BE49-F238E27FC236}">
                  <a16:creationId xmlns:a16="http://schemas.microsoft.com/office/drawing/2014/main" id="{EC2F31BB-CDE2-4467-A0FA-675C8936F43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590000" y="4304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121343</xdr:colOff>
      <xdr:row>29</xdr:row>
      <xdr:rowOff>40517</xdr:rowOff>
    </xdr:from>
    <xdr:to>
      <xdr:col>2</xdr:col>
      <xdr:colOff>121703</xdr:colOff>
      <xdr:row>29</xdr:row>
      <xdr:rowOff>40877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4" name="Pennanteckning 3">
              <a:extLst>
                <a:ext uri="{FF2B5EF4-FFF2-40B4-BE49-F238E27FC236}">
                  <a16:creationId xmlns:a16="http://schemas.microsoft.com/office/drawing/2014/main" id="{024AB291-F8D4-4E37-B847-E7B6B370FF94}"/>
                </a:ext>
              </a:extLst>
            </xdr14:cNvPr>
            <xdr14:cNvContentPartPr/>
          </xdr14:nvContentPartPr>
          <xdr14:nvPr macro=""/>
          <xdr14:xfrm>
            <a:off x="4599000" y="4313160"/>
            <a:ext cx="360" cy="360"/>
          </xdr14:xfrm>
        </xdr:contentPart>
      </mc:Choice>
      <mc:Fallback xmlns="">
        <xdr:pic>
          <xdr:nvPicPr>
            <xdr:cNvPr id="3" name="Pennanteckning 2">
              <a:extLst>
                <a:ext uri="{FF2B5EF4-FFF2-40B4-BE49-F238E27FC236}">
                  <a16:creationId xmlns:a16="http://schemas.microsoft.com/office/drawing/2014/main" id="{12A4F7CF-4A66-4C55-B987-02914B17E3E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590000" y="4304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121343</xdr:colOff>
      <xdr:row>29</xdr:row>
      <xdr:rowOff>40517</xdr:rowOff>
    </xdr:from>
    <xdr:to>
      <xdr:col>9</xdr:col>
      <xdr:colOff>121703</xdr:colOff>
      <xdr:row>29</xdr:row>
      <xdr:rowOff>40877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Pennanteckning 5">
              <a:extLst>
                <a:ext uri="{FF2B5EF4-FFF2-40B4-BE49-F238E27FC236}">
                  <a16:creationId xmlns:a16="http://schemas.microsoft.com/office/drawing/2014/main" id="{3D8C641F-B531-4472-BB0F-B1548D7FB809}"/>
                </a:ext>
              </a:extLst>
            </xdr14:cNvPr>
            <xdr14:cNvContentPartPr/>
          </xdr14:nvContentPartPr>
          <xdr14:nvPr macro=""/>
          <xdr14:xfrm>
            <a:off x="4599000" y="4313160"/>
            <a:ext cx="360" cy="360"/>
          </xdr14:xfrm>
        </xdr:contentPart>
      </mc:Choice>
      <mc:Fallback xmlns="">
        <xdr:pic>
          <xdr:nvPicPr>
            <xdr:cNvPr id="2" name="Pennanteckning 1">
              <a:extLst>
                <a:ext uri="{FF2B5EF4-FFF2-40B4-BE49-F238E27FC236}">
                  <a16:creationId xmlns:a16="http://schemas.microsoft.com/office/drawing/2014/main" id="{322EA042-ACF7-4B7A-966E-7411DE335B90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590000" y="4304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121343</xdr:colOff>
      <xdr:row>21</xdr:row>
      <xdr:rowOff>40517</xdr:rowOff>
    </xdr:from>
    <xdr:to>
      <xdr:col>2</xdr:col>
      <xdr:colOff>121703</xdr:colOff>
      <xdr:row>21</xdr:row>
      <xdr:rowOff>40877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Pennanteckning 2">
              <a:extLst>
                <a:ext uri="{FF2B5EF4-FFF2-40B4-BE49-F238E27FC236}">
                  <a16:creationId xmlns:a16="http://schemas.microsoft.com/office/drawing/2014/main" id="{12A4F7CF-4A66-4C55-B987-02914B17E3E3}"/>
                </a:ext>
              </a:extLst>
            </xdr14:cNvPr>
            <xdr14:cNvContentPartPr/>
          </xdr14:nvContentPartPr>
          <xdr14:nvPr macro=""/>
          <xdr14:xfrm>
            <a:off x="4599000" y="4313160"/>
            <a:ext cx="360" cy="360"/>
          </xdr14:xfrm>
        </xdr:contentPart>
      </mc:Choice>
      <mc:Fallback xmlns="">
        <xdr:pic>
          <xdr:nvPicPr>
            <xdr:cNvPr id="3" name="Pennanteckning 2">
              <a:extLst>
                <a:ext uri="{FF2B5EF4-FFF2-40B4-BE49-F238E27FC236}">
                  <a16:creationId xmlns:a16="http://schemas.microsoft.com/office/drawing/2014/main" id="{12A4F7CF-4A66-4C55-B987-02914B17E3E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590000" y="4304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121343</xdr:colOff>
      <xdr:row>21</xdr:row>
      <xdr:rowOff>40517</xdr:rowOff>
    </xdr:from>
    <xdr:to>
      <xdr:col>3</xdr:col>
      <xdr:colOff>121703</xdr:colOff>
      <xdr:row>21</xdr:row>
      <xdr:rowOff>40877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Pennanteckning 1">
              <a:extLst>
                <a:ext uri="{FF2B5EF4-FFF2-40B4-BE49-F238E27FC236}">
                  <a16:creationId xmlns:a16="http://schemas.microsoft.com/office/drawing/2014/main" id="{E8C18AB8-5163-48A5-B421-7EB6797ECD68}"/>
                </a:ext>
              </a:extLst>
            </xdr14:cNvPr>
            <xdr14:cNvContentPartPr/>
          </xdr14:nvContentPartPr>
          <xdr14:nvPr macro=""/>
          <xdr14:xfrm>
            <a:off x="4599000" y="4313160"/>
            <a:ext cx="360" cy="360"/>
          </xdr14:xfrm>
        </xdr:contentPart>
      </mc:Choice>
      <mc:Fallback xmlns="">
        <xdr:pic>
          <xdr:nvPicPr>
            <xdr:cNvPr id="2" name="Pennanteckning 1">
              <a:extLst>
                <a:ext uri="{FF2B5EF4-FFF2-40B4-BE49-F238E27FC236}">
                  <a16:creationId xmlns:a16="http://schemas.microsoft.com/office/drawing/2014/main" id="{E8C18AB8-5163-48A5-B421-7EB6797ECD6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590000" y="4304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121343</xdr:colOff>
      <xdr:row>21</xdr:row>
      <xdr:rowOff>40517</xdr:rowOff>
    </xdr:from>
    <xdr:to>
      <xdr:col>3</xdr:col>
      <xdr:colOff>121703</xdr:colOff>
      <xdr:row>21</xdr:row>
      <xdr:rowOff>40877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4" name="Pennanteckning 3">
              <a:extLst>
                <a:ext uri="{FF2B5EF4-FFF2-40B4-BE49-F238E27FC236}">
                  <a16:creationId xmlns:a16="http://schemas.microsoft.com/office/drawing/2014/main" id="{48387614-FDB6-4F77-BA04-55EFFE57C4C0}"/>
                </a:ext>
              </a:extLst>
            </xdr14:cNvPr>
            <xdr14:cNvContentPartPr/>
          </xdr14:nvContentPartPr>
          <xdr14:nvPr macro=""/>
          <xdr14:xfrm>
            <a:off x="4599000" y="4313160"/>
            <a:ext cx="360" cy="360"/>
          </xdr14:xfrm>
        </xdr:contentPart>
      </mc:Choice>
      <mc:Fallback xmlns="">
        <xdr:pic>
          <xdr:nvPicPr>
            <xdr:cNvPr id="3" name="Pennanteckning 2">
              <a:extLst>
                <a:ext uri="{FF2B5EF4-FFF2-40B4-BE49-F238E27FC236}">
                  <a16:creationId xmlns:a16="http://schemas.microsoft.com/office/drawing/2014/main" id="{12A4F7CF-4A66-4C55-B987-02914B17E3E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590000" y="4304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121343</xdr:colOff>
      <xdr:row>21</xdr:row>
      <xdr:rowOff>40517</xdr:rowOff>
    </xdr:from>
    <xdr:to>
      <xdr:col>3</xdr:col>
      <xdr:colOff>121703</xdr:colOff>
      <xdr:row>21</xdr:row>
      <xdr:rowOff>40877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5" name="Pennanteckning 4">
              <a:extLst>
                <a:ext uri="{FF2B5EF4-FFF2-40B4-BE49-F238E27FC236}">
                  <a16:creationId xmlns:a16="http://schemas.microsoft.com/office/drawing/2014/main" id="{5A4BC437-C1A6-4CD2-B814-A149B7EA6BCD}"/>
                </a:ext>
              </a:extLst>
            </xdr14:cNvPr>
            <xdr14:cNvContentPartPr/>
          </xdr14:nvContentPartPr>
          <xdr14:nvPr macro=""/>
          <xdr14:xfrm>
            <a:off x="4599000" y="4313160"/>
            <a:ext cx="360" cy="360"/>
          </xdr14:xfrm>
        </xdr:contentPart>
      </mc:Choice>
      <mc:Fallback xmlns="">
        <xdr:pic>
          <xdr:nvPicPr>
            <xdr:cNvPr id="2" name="Pennanteckning 1">
              <a:extLst>
                <a:ext uri="{FF2B5EF4-FFF2-40B4-BE49-F238E27FC236}">
                  <a16:creationId xmlns:a16="http://schemas.microsoft.com/office/drawing/2014/main" id="{C212E63B-725F-4A5A-B989-F9773919F7D1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590000" y="4304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121343</xdr:colOff>
      <xdr:row>20</xdr:row>
      <xdr:rowOff>40517</xdr:rowOff>
    </xdr:from>
    <xdr:to>
      <xdr:col>9</xdr:col>
      <xdr:colOff>121703</xdr:colOff>
      <xdr:row>20</xdr:row>
      <xdr:rowOff>40877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Pennanteckning 6">
              <a:extLst>
                <a:ext uri="{FF2B5EF4-FFF2-40B4-BE49-F238E27FC236}">
                  <a16:creationId xmlns:a16="http://schemas.microsoft.com/office/drawing/2014/main" id="{EA3570CA-017D-46AC-B395-488A9224174C}"/>
                </a:ext>
              </a:extLst>
            </xdr14:cNvPr>
            <xdr14:cNvContentPartPr/>
          </xdr14:nvContentPartPr>
          <xdr14:nvPr macro=""/>
          <xdr14:xfrm>
            <a:off x="4599000" y="4313160"/>
            <a:ext cx="360" cy="360"/>
          </xdr14:xfrm>
        </xdr:contentPart>
      </mc:Choice>
      <mc:Fallback xmlns="">
        <xdr:pic>
          <xdr:nvPicPr>
            <xdr:cNvPr id="2" name="Pennanteckning 1">
              <a:extLst>
                <a:ext uri="{FF2B5EF4-FFF2-40B4-BE49-F238E27FC236}">
                  <a16:creationId xmlns:a16="http://schemas.microsoft.com/office/drawing/2014/main" id="{4D3BAF92-A3C3-481F-80C4-6E695E49D05C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4590000" y="4304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121343</xdr:colOff>
      <xdr:row>24</xdr:row>
      <xdr:rowOff>40517</xdr:rowOff>
    </xdr:from>
    <xdr:to>
      <xdr:col>2</xdr:col>
      <xdr:colOff>121703</xdr:colOff>
      <xdr:row>24</xdr:row>
      <xdr:rowOff>40877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Pennanteckning 2">
              <a:extLst>
                <a:ext uri="{FF2B5EF4-FFF2-40B4-BE49-F238E27FC236}">
                  <a16:creationId xmlns:a16="http://schemas.microsoft.com/office/drawing/2014/main" id="{8D8E3262-1041-4011-99A5-CDE3DD86D9D5}"/>
                </a:ext>
              </a:extLst>
            </xdr14:cNvPr>
            <xdr14:cNvContentPartPr/>
          </xdr14:nvContentPartPr>
          <xdr14:nvPr macro=""/>
          <xdr14:xfrm>
            <a:off x="4599000" y="4313160"/>
            <a:ext cx="360" cy="360"/>
          </xdr14:xfrm>
        </xdr:contentPart>
      </mc:Choice>
      <mc:Fallback xmlns="">
        <xdr:pic>
          <xdr:nvPicPr>
            <xdr:cNvPr id="3" name="Pennanteckning 2">
              <a:extLst>
                <a:ext uri="{FF2B5EF4-FFF2-40B4-BE49-F238E27FC236}">
                  <a16:creationId xmlns:a16="http://schemas.microsoft.com/office/drawing/2014/main" id="{8D8E3262-1041-4011-99A5-CDE3DD86D9D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590000" y="4304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121343</xdr:colOff>
      <xdr:row>24</xdr:row>
      <xdr:rowOff>40517</xdr:rowOff>
    </xdr:from>
    <xdr:to>
      <xdr:col>2</xdr:col>
      <xdr:colOff>121703</xdr:colOff>
      <xdr:row>24</xdr:row>
      <xdr:rowOff>40877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5" name="Pennanteckning 4">
              <a:extLst>
                <a:ext uri="{FF2B5EF4-FFF2-40B4-BE49-F238E27FC236}">
                  <a16:creationId xmlns:a16="http://schemas.microsoft.com/office/drawing/2014/main" id="{D3FA0C17-5A0D-4BAB-9CA9-F69939A08AC7}"/>
                </a:ext>
              </a:extLst>
            </xdr14:cNvPr>
            <xdr14:cNvContentPartPr/>
          </xdr14:nvContentPartPr>
          <xdr14:nvPr macro=""/>
          <xdr14:xfrm>
            <a:off x="4599000" y="4313160"/>
            <a:ext cx="360" cy="360"/>
          </xdr14:xfrm>
        </xdr:contentPart>
      </mc:Choice>
      <mc:Fallback xmlns="">
        <xdr:pic>
          <xdr:nvPicPr>
            <xdr:cNvPr id="3" name="Pennanteckning 2">
              <a:extLst>
                <a:ext uri="{FF2B5EF4-FFF2-40B4-BE49-F238E27FC236}">
                  <a16:creationId xmlns:a16="http://schemas.microsoft.com/office/drawing/2014/main" id="{12A4F7CF-4A66-4C55-B987-02914B17E3E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590000" y="4304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121343</xdr:colOff>
      <xdr:row>24</xdr:row>
      <xdr:rowOff>40517</xdr:rowOff>
    </xdr:from>
    <xdr:to>
      <xdr:col>8</xdr:col>
      <xdr:colOff>121703</xdr:colOff>
      <xdr:row>24</xdr:row>
      <xdr:rowOff>40877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Pennanteckning 5">
              <a:extLst>
                <a:ext uri="{FF2B5EF4-FFF2-40B4-BE49-F238E27FC236}">
                  <a16:creationId xmlns:a16="http://schemas.microsoft.com/office/drawing/2014/main" id="{15E820D1-EA55-4E99-8C4E-2E503A2FDA60}"/>
                </a:ext>
              </a:extLst>
            </xdr14:cNvPr>
            <xdr14:cNvContentPartPr/>
          </xdr14:nvContentPartPr>
          <xdr14:nvPr macro=""/>
          <xdr14:xfrm>
            <a:off x="4599000" y="4313160"/>
            <a:ext cx="360" cy="360"/>
          </xdr14:xfrm>
        </xdr:contentPart>
      </mc:Choice>
      <mc:Fallback xmlns="">
        <xdr:pic>
          <xdr:nvPicPr>
            <xdr:cNvPr id="2" name="Pennanteckning 1">
              <a:extLst>
                <a:ext uri="{FF2B5EF4-FFF2-40B4-BE49-F238E27FC236}">
                  <a16:creationId xmlns:a16="http://schemas.microsoft.com/office/drawing/2014/main" id="{4D3BAF92-A3C3-481F-80C4-6E695E49D05C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590000" y="4304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1-21T11:55:16.695"/>
    </inkml:context>
    <inkml:brush xml:id="br0">
      <inkml:brushProperty name="width" value="0.35" units="cm"/>
      <inkml:brushProperty name="height" value="2.1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7T15:19:31.17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16T15:56:16.321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14:47:43.925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4T13:46:33.14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7T15:19:40.12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14:52:24.275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1-21T11:56:41.02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4T13:21:13.06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7T15:18:50.29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4T16:19:33.65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7T15:18:37.33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14:42:44.68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4T13:21:25.86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04T15:26:39.13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9"/>
  <sheetViews>
    <sheetView tabSelected="1" zoomScale="78" zoomScaleNormal="78" workbookViewId="0">
      <selection sqref="A1:XFD1048576"/>
    </sheetView>
  </sheetViews>
  <sheetFormatPr defaultColWidth="9.1171875" defaultRowHeight="14.35" x14ac:dyDescent="0.5"/>
  <cols>
    <col min="1" max="1" width="14.29296875" style="27" customWidth="1"/>
    <col min="2" max="2" width="34" style="27" bestFit="1" customWidth="1"/>
    <col min="3" max="3" width="11.5859375" style="27" customWidth="1"/>
    <col min="4" max="4" width="11.8203125" style="27" customWidth="1"/>
    <col min="5" max="5" width="16" style="27" customWidth="1"/>
    <col min="6" max="16384" width="9.1171875" style="27"/>
  </cols>
  <sheetData>
    <row r="1" spans="1:18" x14ac:dyDescent="0.5">
      <c r="A1" s="221" t="s">
        <v>149</v>
      </c>
      <c r="B1" s="222"/>
      <c r="C1" s="222" t="s">
        <v>150</v>
      </c>
      <c r="D1" s="223"/>
      <c r="E1" s="224"/>
    </row>
    <row r="2" spans="1:18" x14ac:dyDescent="0.5">
      <c r="A2" s="222" t="s">
        <v>151</v>
      </c>
      <c r="B2" s="22"/>
      <c r="C2" s="56"/>
      <c r="D2" s="56"/>
      <c r="E2" s="225"/>
      <c r="K2" s="121"/>
      <c r="L2" s="122"/>
      <c r="M2" s="121"/>
      <c r="N2" s="121"/>
      <c r="O2" s="121"/>
      <c r="P2" s="121"/>
      <c r="Q2" s="121"/>
      <c r="R2" s="121"/>
    </row>
    <row r="3" spans="1:18" x14ac:dyDescent="0.5">
      <c r="A3" s="226"/>
      <c r="B3" s="34"/>
      <c r="C3" s="56" t="s">
        <v>152</v>
      </c>
      <c r="D3" s="56" t="s">
        <v>153</v>
      </c>
      <c r="E3" s="225" t="s">
        <v>154</v>
      </c>
      <c r="K3" s="121"/>
      <c r="L3" s="123"/>
      <c r="M3" s="121"/>
      <c r="N3" s="121"/>
      <c r="O3" s="121"/>
      <c r="P3" s="121"/>
      <c r="Q3" s="121"/>
      <c r="R3" s="121"/>
    </row>
    <row r="4" spans="1:18" x14ac:dyDescent="0.5">
      <c r="A4" s="222" t="s">
        <v>155</v>
      </c>
      <c r="B4" s="34"/>
      <c r="C4" s="56"/>
      <c r="D4" s="56"/>
      <c r="E4" s="225"/>
      <c r="K4" s="121"/>
      <c r="L4" s="123"/>
      <c r="M4" s="121"/>
      <c r="N4" s="121"/>
      <c r="O4" s="121"/>
      <c r="P4" s="121"/>
      <c r="Q4" s="121"/>
      <c r="R4" s="121"/>
    </row>
    <row r="5" spans="1:18" x14ac:dyDescent="0.5">
      <c r="A5" s="222" t="s">
        <v>156</v>
      </c>
      <c r="B5" s="34"/>
      <c r="C5" s="56"/>
      <c r="D5" s="56"/>
      <c r="E5" s="225"/>
      <c r="K5" s="121"/>
      <c r="L5" s="121"/>
      <c r="M5" s="121"/>
      <c r="N5" s="121"/>
      <c r="O5" s="121"/>
      <c r="P5" s="121"/>
      <c r="Q5" s="121"/>
      <c r="R5" s="121"/>
    </row>
    <row r="6" spans="1:18" x14ac:dyDescent="0.5">
      <c r="A6" s="226"/>
      <c r="B6" s="22" t="s">
        <v>157</v>
      </c>
      <c r="C6" s="56"/>
      <c r="D6" s="56"/>
      <c r="E6" s="225"/>
      <c r="F6" s="56"/>
      <c r="K6" s="121"/>
      <c r="L6" s="123"/>
      <c r="M6" s="121"/>
      <c r="N6" s="121"/>
      <c r="O6" s="121"/>
      <c r="P6" s="121"/>
      <c r="Q6" s="121"/>
      <c r="R6" s="121"/>
    </row>
    <row r="7" spans="1:18" x14ac:dyDescent="0.5">
      <c r="A7" s="222" t="s">
        <v>158</v>
      </c>
      <c r="B7" s="22" t="s">
        <v>159</v>
      </c>
      <c r="C7" s="56">
        <v>2935001</v>
      </c>
      <c r="D7" s="56">
        <v>0</v>
      </c>
      <c r="E7" s="225">
        <v>2935001</v>
      </c>
      <c r="F7" s="56"/>
      <c r="K7" s="121"/>
      <c r="L7" s="122"/>
      <c r="M7" s="121"/>
      <c r="N7" s="121"/>
      <c r="O7" s="121"/>
      <c r="P7" s="121"/>
      <c r="Q7" s="121"/>
      <c r="R7" s="121"/>
    </row>
    <row r="8" spans="1:18" x14ac:dyDescent="0.5">
      <c r="A8" s="222" t="s">
        <v>160</v>
      </c>
      <c r="B8" s="22" t="s">
        <v>161</v>
      </c>
      <c r="C8" s="56">
        <v>-2507014</v>
      </c>
      <c r="D8" s="56">
        <v>-70000</v>
      </c>
      <c r="E8" s="225">
        <v>-2577014</v>
      </c>
      <c r="F8" s="56"/>
      <c r="K8" s="121"/>
      <c r="L8" s="122"/>
      <c r="M8" s="121"/>
      <c r="N8" s="121"/>
      <c r="O8" s="121"/>
      <c r="P8" s="121"/>
      <c r="Q8" s="121"/>
      <c r="R8" s="121"/>
    </row>
    <row r="9" spans="1:18" x14ac:dyDescent="0.5">
      <c r="A9" s="222" t="s">
        <v>162</v>
      </c>
      <c r="B9" s="22" t="s">
        <v>163</v>
      </c>
      <c r="C9" s="56">
        <v>497</v>
      </c>
      <c r="D9" s="56">
        <v>0</v>
      </c>
      <c r="E9" s="225">
        <v>497</v>
      </c>
      <c r="F9" s="56"/>
      <c r="K9" s="121"/>
      <c r="L9" s="122"/>
      <c r="M9" s="121"/>
      <c r="N9" s="121"/>
      <c r="O9" s="121"/>
      <c r="P9" s="121"/>
      <c r="Q9" s="121"/>
      <c r="R9" s="121"/>
    </row>
    <row r="10" spans="1:18" x14ac:dyDescent="0.5">
      <c r="A10" s="222" t="s">
        <v>164</v>
      </c>
      <c r="B10" s="22" t="s">
        <v>165</v>
      </c>
      <c r="C10" s="56">
        <v>11221.5</v>
      </c>
      <c r="D10" s="56">
        <v>6279</v>
      </c>
      <c r="E10" s="225">
        <v>17500.5</v>
      </c>
      <c r="F10" s="56"/>
      <c r="K10" s="121"/>
      <c r="L10" s="121"/>
      <c r="M10" s="121"/>
      <c r="N10" s="121"/>
      <c r="O10" s="121"/>
      <c r="P10" s="121"/>
      <c r="Q10" s="121"/>
      <c r="R10" s="121"/>
    </row>
    <row r="11" spans="1:18" x14ac:dyDescent="0.5">
      <c r="A11" s="222" t="s">
        <v>166</v>
      </c>
      <c r="B11" s="22" t="s">
        <v>167</v>
      </c>
      <c r="C11" s="56">
        <v>346125</v>
      </c>
      <c r="D11" s="56">
        <v>49302</v>
      </c>
      <c r="E11" s="225">
        <v>395427</v>
      </c>
      <c r="F11" s="56"/>
      <c r="K11" s="121"/>
      <c r="L11" s="123"/>
      <c r="M11" s="121"/>
      <c r="N11" s="121"/>
      <c r="O11" s="121"/>
      <c r="P11" s="121"/>
      <c r="Q11" s="121"/>
      <c r="R11" s="121"/>
    </row>
    <row r="12" spans="1:18" x14ac:dyDescent="0.5">
      <c r="A12" s="222" t="s">
        <v>168</v>
      </c>
      <c r="B12" s="22" t="s">
        <v>169</v>
      </c>
      <c r="C12" s="56">
        <v>-160000</v>
      </c>
      <c r="D12" s="56">
        <v>-45000</v>
      </c>
      <c r="E12" s="225">
        <v>-205000</v>
      </c>
      <c r="F12" s="56"/>
      <c r="K12" s="121"/>
      <c r="L12" s="121"/>
      <c r="M12" s="121"/>
      <c r="N12" s="121"/>
      <c r="O12" s="121"/>
      <c r="P12" s="121"/>
      <c r="Q12" s="121"/>
      <c r="R12" s="121"/>
    </row>
    <row r="13" spans="1:18" x14ac:dyDescent="0.5">
      <c r="A13" s="34"/>
      <c r="B13" s="34"/>
      <c r="C13" s="56"/>
      <c r="D13" s="56"/>
      <c r="E13" s="56"/>
      <c r="F13" s="56"/>
      <c r="K13" s="121"/>
      <c r="L13" s="121"/>
      <c r="M13" s="121"/>
      <c r="N13" s="121"/>
      <c r="O13" s="121"/>
      <c r="P13" s="121"/>
      <c r="Q13" s="121"/>
      <c r="R13" s="121"/>
    </row>
    <row r="14" spans="1:18" x14ac:dyDescent="0.5">
      <c r="A14" s="222" t="s">
        <v>170</v>
      </c>
      <c r="B14" s="34"/>
      <c r="C14" s="56">
        <v>625830.5</v>
      </c>
      <c r="D14" s="56">
        <v>-59419</v>
      </c>
      <c r="E14" s="225">
        <v>566411.5</v>
      </c>
      <c r="F14" s="56"/>
      <c r="K14" s="121"/>
      <c r="L14" s="123"/>
      <c r="M14" s="121"/>
      <c r="N14" s="121"/>
      <c r="O14" s="121"/>
      <c r="P14" s="121"/>
      <c r="Q14" s="121"/>
      <c r="R14" s="121"/>
    </row>
    <row r="15" spans="1:18" x14ac:dyDescent="0.5">
      <c r="A15" s="227"/>
      <c r="B15" s="228"/>
      <c r="C15" s="229"/>
      <c r="D15" s="229"/>
      <c r="E15" s="230"/>
      <c r="F15" s="56"/>
      <c r="K15" s="121"/>
      <c r="L15" s="122"/>
      <c r="M15" s="121"/>
      <c r="N15" s="121"/>
      <c r="O15" s="121"/>
      <c r="P15" s="121"/>
      <c r="Q15" s="121"/>
      <c r="R15" s="121"/>
    </row>
    <row r="16" spans="1:18" x14ac:dyDescent="0.5">
      <c r="A16" s="222" t="s">
        <v>171</v>
      </c>
      <c r="B16" s="34"/>
      <c r="C16" s="56"/>
      <c r="D16" s="56"/>
      <c r="E16" s="56"/>
      <c r="F16" s="56"/>
      <c r="K16" s="121"/>
      <c r="L16" s="122"/>
      <c r="M16" s="121"/>
      <c r="N16" s="121"/>
      <c r="O16" s="121"/>
      <c r="P16" s="121"/>
      <c r="Q16" s="121"/>
      <c r="R16" s="121"/>
    </row>
    <row r="17" spans="1:18" x14ac:dyDescent="0.5">
      <c r="A17" s="222" t="s">
        <v>172</v>
      </c>
      <c r="B17" s="22" t="s">
        <v>173</v>
      </c>
      <c r="C17" s="56">
        <v>0</v>
      </c>
      <c r="D17" s="56">
        <v>343299</v>
      </c>
      <c r="E17" s="225">
        <v>343299</v>
      </c>
      <c r="F17" s="56"/>
      <c r="K17" s="121"/>
      <c r="L17" s="122"/>
      <c r="M17" s="121"/>
      <c r="N17" s="121"/>
      <c r="O17" s="121"/>
      <c r="P17" s="121"/>
      <c r="Q17" s="121"/>
      <c r="R17" s="121"/>
    </row>
    <row r="18" spans="1:18" x14ac:dyDescent="0.5">
      <c r="A18" s="34"/>
      <c r="B18" s="34" t="s">
        <v>174</v>
      </c>
      <c r="C18" s="56"/>
      <c r="D18" s="56"/>
      <c r="E18" s="225"/>
      <c r="F18" s="56"/>
      <c r="K18" s="121"/>
      <c r="L18" s="122"/>
      <c r="M18" s="121"/>
      <c r="N18" s="121"/>
      <c r="O18" s="121"/>
      <c r="P18" s="121"/>
      <c r="Q18" s="121"/>
      <c r="R18" s="121"/>
    </row>
    <row r="19" spans="1:18" x14ac:dyDescent="0.5">
      <c r="A19" s="34"/>
      <c r="B19" s="34"/>
      <c r="C19" s="56"/>
      <c r="D19" s="56"/>
      <c r="E19" s="56"/>
      <c r="F19" s="56"/>
      <c r="K19" s="121"/>
      <c r="L19" s="122"/>
      <c r="M19" s="121"/>
      <c r="N19" s="121"/>
      <c r="O19" s="121"/>
      <c r="P19" s="121"/>
      <c r="Q19" s="121"/>
      <c r="R19" s="121"/>
    </row>
    <row r="20" spans="1:18" x14ac:dyDescent="0.5">
      <c r="A20" s="34"/>
      <c r="B20" s="34"/>
      <c r="C20" s="56"/>
      <c r="D20" s="56"/>
      <c r="E20" s="56"/>
      <c r="K20" s="121"/>
      <c r="L20" s="121"/>
      <c r="M20" s="121"/>
      <c r="N20" s="121"/>
      <c r="O20" s="121"/>
      <c r="P20" s="121"/>
      <c r="Q20" s="121"/>
      <c r="R20" s="121"/>
    </row>
    <row r="21" spans="1:18" ht="15.7" x14ac:dyDescent="0.5">
      <c r="A21" s="222" t="s">
        <v>175</v>
      </c>
      <c r="B21" s="34"/>
      <c r="C21" s="56"/>
      <c r="D21" s="56"/>
      <c r="E21" s="225"/>
      <c r="K21" s="121"/>
      <c r="L21" s="124"/>
      <c r="M21" s="121"/>
      <c r="N21" s="121"/>
      <c r="O21" s="125"/>
      <c r="P21" s="121"/>
      <c r="Q21" s="121"/>
      <c r="R21" s="121"/>
    </row>
    <row r="22" spans="1:18" x14ac:dyDescent="0.5">
      <c r="A22" s="222" t="s">
        <v>176</v>
      </c>
      <c r="B22" s="34"/>
      <c r="C22" s="56"/>
      <c r="D22" s="56"/>
      <c r="E22" s="225"/>
      <c r="K22" s="121"/>
      <c r="L22" s="121"/>
      <c r="M22" s="121"/>
      <c r="N22" s="121"/>
      <c r="O22" s="121"/>
      <c r="P22" s="121"/>
      <c r="Q22" s="121"/>
      <c r="R22" s="121"/>
    </row>
    <row r="23" spans="1:18" x14ac:dyDescent="0.5">
      <c r="A23" s="222" t="s">
        <v>177</v>
      </c>
      <c r="B23" s="22" t="s">
        <v>178</v>
      </c>
      <c r="C23" s="56">
        <v>1603250.07</v>
      </c>
      <c r="D23" s="56">
        <v>-398277.07</v>
      </c>
      <c r="E23" s="225">
        <v>1204973</v>
      </c>
      <c r="K23" s="121"/>
      <c r="L23" s="123"/>
      <c r="M23" s="121"/>
      <c r="N23" s="121"/>
      <c r="O23" s="121"/>
      <c r="P23" s="121"/>
      <c r="Q23" s="121"/>
      <c r="R23" s="121"/>
    </row>
    <row r="24" spans="1:18" ht="14.7" thickBot="1" x14ac:dyDescent="0.55000000000000004">
      <c r="A24" s="226"/>
      <c r="B24" s="34"/>
      <c r="C24" s="56"/>
      <c r="D24" s="56"/>
      <c r="E24" s="225"/>
      <c r="K24" s="121"/>
      <c r="L24" s="121"/>
      <c r="M24" s="121"/>
      <c r="N24" s="121"/>
      <c r="O24" s="121"/>
      <c r="P24" s="121"/>
      <c r="Q24" s="121"/>
      <c r="R24" s="121"/>
    </row>
    <row r="25" spans="1:18" x14ac:dyDescent="0.5">
      <c r="A25" s="231"/>
      <c r="B25" s="232"/>
      <c r="C25" s="233"/>
      <c r="D25" s="233"/>
      <c r="E25" s="234"/>
      <c r="K25" s="121"/>
      <c r="L25" s="123"/>
      <c r="M25" s="121"/>
      <c r="N25" s="121"/>
      <c r="O25" s="121"/>
      <c r="P25" s="121"/>
      <c r="Q25" s="121"/>
      <c r="R25" s="121"/>
    </row>
    <row r="26" spans="1:18" x14ac:dyDescent="0.5">
      <c r="A26" s="222" t="s">
        <v>179</v>
      </c>
      <c r="B26" s="34"/>
      <c r="C26" s="56">
        <v>1614878.07</v>
      </c>
      <c r="D26" s="56">
        <v>-59804.070000000007</v>
      </c>
      <c r="E26" s="225">
        <v>1555074</v>
      </c>
      <c r="K26" s="121"/>
      <c r="L26" s="123"/>
      <c r="M26" s="121"/>
      <c r="N26" s="121"/>
      <c r="O26" s="121"/>
      <c r="P26" s="121"/>
      <c r="Q26" s="121"/>
      <c r="R26" s="121"/>
    </row>
    <row r="27" spans="1:18" ht="14.7" thickBot="1" x14ac:dyDescent="0.55000000000000004">
      <c r="A27" s="226"/>
      <c r="B27" s="34"/>
      <c r="C27" s="56"/>
      <c r="D27" s="56"/>
      <c r="E27" s="225"/>
      <c r="K27" s="121"/>
      <c r="L27" s="121"/>
      <c r="M27" s="121"/>
      <c r="N27" s="121"/>
      <c r="O27" s="121"/>
      <c r="P27" s="121"/>
      <c r="Q27" s="121"/>
      <c r="R27" s="121"/>
    </row>
    <row r="28" spans="1:18" x14ac:dyDescent="0.5">
      <c r="A28" s="231"/>
      <c r="B28" s="232"/>
      <c r="C28" s="233"/>
      <c r="D28" s="233"/>
      <c r="E28" s="234"/>
      <c r="K28" s="121"/>
      <c r="L28" s="121"/>
      <c r="M28" s="121"/>
      <c r="N28" s="121"/>
      <c r="O28" s="121"/>
      <c r="P28" s="121"/>
      <c r="Q28" s="121"/>
      <c r="R28" s="121"/>
    </row>
    <row r="29" spans="1:18" x14ac:dyDescent="0.5">
      <c r="A29" s="222" t="s">
        <v>180</v>
      </c>
      <c r="B29" s="34"/>
      <c r="C29" s="56">
        <v>2240708.5699999998</v>
      </c>
      <c r="D29" s="56">
        <v>-119223.07</v>
      </c>
      <c r="E29" s="225">
        <v>2121485.5</v>
      </c>
      <c r="K29" s="121"/>
      <c r="L29" s="125"/>
      <c r="M29" s="121"/>
      <c r="N29" s="121"/>
      <c r="O29" s="121"/>
      <c r="P29" s="121"/>
      <c r="Q29" s="121"/>
      <c r="R29" s="121"/>
    </row>
    <row r="30" spans="1:18" x14ac:dyDescent="0.5">
      <c r="A30" s="226"/>
      <c r="B30" s="34"/>
      <c r="C30" s="56"/>
      <c r="D30" s="56"/>
      <c r="E30" s="225"/>
      <c r="K30" s="121"/>
      <c r="L30" s="122"/>
      <c r="M30" s="121"/>
      <c r="N30" s="121"/>
      <c r="O30" s="121"/>
      <c r="P30" s="121"/>
      <c r="Q30" s="121"/>
      <c r="R30" s="121"/>
    </row>
    <row r="31" spans="1:18" x14ac:dyDescent="0.5">
      <c r="A31" s="222" t="s">
        <v>181</v>
      </c>
      <c r="B31" s="34"/>
      <c r="C31" s="56"/>
      <c r="D31" s="56"/>
      <c r="E31" s="225"/>
      <c r="K31" s="121"/>
      <c r="L31" s="121"/>
      <c r="M31" s="121"/>
      <c r="N31" s="121"/>
      <c r="O31" s="121"/>
      <c r="P31" s="121"/>
      <c r="Q31" s="121"/>
      <c r="R31" s="121"/>
    </row>
    <row r="32" spans="1:18" x14ac:dyDescent="0.5">
      <c r="A32" s="222" t="s">
        <v>182</v>
      </c>
      <c r="B32" s="22" t="s">
        <v>183</v>
      </c>
      <c r="C32" s="56">
        <v>-1488065.44</v>
      </c>
      <c r="D32" s="56">
        <v>-275499.61</v>
      </c>
      <c r="E32" s="225">
        <v>-1763565.05</v>
      </c>
      <c r="K32" s="121"/>
      <c r="L32" s="125"/>
      <c r="M32" s="121"/>
      <c r="N32" s="121"/>
      <c r="O32" s="121"/>
      <c r="P32" s="121"/>
      <c r="Q32" s="121"/>
      <c r="R32" s="121"/>
    </row>
    <row r="33" spans="1:18" x14ac:dyDescent="0.5">
      <c r="A33" s="34"/>
      <c r="B33" s="34"/>
      <c r="C33" s="56"/>
      <c r="D33" s="56"/>
      <c r="E33" s="56"/>
      <c r="K33" s="121"/>
      <c r="L33" s="122"/>
      <c r="M33" s="121"/>
      <c r="N33" s="121"/>
      <c r="O33" s="121"/>
      <c r="P33" s="121"/>
      <c r="Q33" s="121"/>
      <c r="R33" s="121"/>
    </row>
    <row r="34" spans="1:18" x14ac:dyDescent="0.5">
      <c r="A34" s="222" t="s">
        <v>184</v>
      </c>
      <c r="B34" s="34"/>
      <c r="C34" s="56">
        <v>-1488065.44</v>
      </c>
      <c r="D34" s="56">
        <v>-275499.61</v>
      </c>
      <c r="E34" s="225">
        <v>-1763565.05</v>
      </c>
      <c r="K34" s="121"/>
      <c r="L34" s="122"/>
      <c r="M34" s="121"/>
      <c r="N34" s="121"/>
      <c r="O34" s="121"/>
      <c r="P34" s="121"/>
      <c r="Q34" s="121"/>
      <c r="R34" s="121"/>
    </row>
    <row r="35" spans="1:18" x14ac:dyDescent="0.5">
      <c r="A35" s="222" t="s">
        <v>185</v>
      </c>
      <c r="B35" s="34"/>
      <c r="C35" s="56"/>
      <c r="D35" s="56"/>
      <c r="E35" s="225"/>
      <c r="K35" s="121"/>
      <c r="L35" s="123"/>
      <c r="M35" s="121"/>
      <c r="N35" s="121"/>
      <c r="O35" s="121"/>
      <c r="P35" s="121"/>
      <c r="Q35" s="121"/>
      <c r="R35" s="121"/>
    </row>
    <row r="36" spans="1:18" x14ac:dyDescent="0.5">
      <c r="A36" s="222" t="s">
        <v>186</v>
      </c>
      <c r="B36" s="22" t="s">
        <v>187</v>
      </c>
      <c r="C36" s="56">
        <v>-211650</v>
      </c>
      <c r="D36" s="56">
        <v>61650</v>
      </c>
      <c r="E36" s="225">
        <v>-150000</v>
      </c>
      <c r="K36" s="121"/>
      <c r="L36" s="122"/>
      <c r="M36" s="121"/>
      <c r="N36" s="121"/>
      <c r="O36" s="121"/>
      <c r="P36" s="121"/>
      <c r="Q36" s="121"/>
      <c r="R36" s="121"/>
    </row>
    <row r="37" spans="1:18" x14ac:dyDescent="0.5">
      <c r="A37" s="222" t="s">
        <v>188</v>
      </c>
      <c r="B37" s="22" t="s">
        <v>189</v>
      </c>
      <c r="C37" s="56">
        <v>0</v>
      </c>
      <c r="D37" s="56">
        <v>-6500</v>
      </c>
      <c r="E37" s="225">
        <v>-6500</v>
      </c>
      <c r="K37" s="121"/>
      <c r="L37" s="122"/>
      <c r="M37" s="121"/>
      <c r="N37" s="121"/>
      <c r="O37" s="121"/>
      <c r="P37" s="121"/>
      <c r="Q37" s="121"/>
      <c r="R37" s="121"/>
    </row>
    <row r="38" spans="1:18" x14ac:dyDescent="0.5">
      <c r="A38" s="222" t="s">
        <v>190</v>
      </c>
      <c r="B38" s="22" t="s">
        <v>191</v>
      </c>
      <c r="C38" s="56">
        <v>-262539.26</v>
      </c>
      <c r="D38" s="56">
        <v>62367</v>
      </c>
      <c r="E38" s="225">
        <v>-200172.26</v>
      </c>
      <c r="K38" s="121"/>
      <c r="L38" s="123"/>
      <c r="M38" s="121"/>
      <c r="N38" s="121"/>
      <c r="O38" s="121"/>
      <c r="P38" s="121"/>
      <c r="Q38" s="121"/>
      <c r="R38" s="121"/>
    </row>
    <row r="39" spans="1:18" x14ac:dyDescent="0.5">
      <c r="A39" s="222" t="s">
        <v>192</v>
      </c>
      <c r="B39" s="22" t="s">
        <v>193</v>
      </c>
      <c r="C39" s="56">
        <v>-2954</v>
      </c>
      <c r="D39" s="56">
        <v>-5408</v>
      </c>
      <c r="E39" s="225">
        <v>-8362</v>
      </c>
      <c r="K39" s="121"/>
      <c r="L39" s="121"/>
      <c r="M39" s="121"/>
      <c r="N39" s="121"/>
      <c r="O39" s="121"/>
      <c r="P39" s="121"/>
      <c r="Q39" s="121"/>
      <c r="R39" s="121"/>
    </row>
    <row r="40" spans="1:18" ht="14.7" thickBot="1" x14ac:dyDescent="0.55000000000000004">
      <c r="A40" s="34"/>
      <c r="B40" s="34"/>
      <c r="C40" s="56"/>
      <c r="D40" s="56"/>
      <c r="E40" s="56"/>
      <c r="K40" s="121"/>
      <c r="L40" s="121"/>
      <c r="M40" s="121"/>
      <c r="N40" s="121"/>
      <c r="O40" s="121"/>
      <c r="P40" s="121"/>
      <c r="Q40" s="121"/>
      <c r="R40" s="121"/>
    </row>
    <row r="41" spans="1:18" x14ac:dyDescent="0.5">
      <c r="A41" s="231"/>
      <c r="B41" s="232"/>
      <c r="C41" s="233"/>
      <c r="D41" s="233"/>
      <c r="E41" s="234"/>
      <c r="K41" s="121"/>
      <c r="L41" s="122"/>
      <c r="M41" s="121"/>
      <c r="N41" s="121"/>
      <c r="O41" s="121"/>
      <c r="P41" s="121"/>
      <c r="Q41" s="121"/>
      <c r="R41" s="121"/>
    </row>
    <row r="42" spans="1:18" x14ac:dyDescent="0.5">
      <c r="A42" s="222" t="s">
        <v>194</v>
      </c>
      <c r="B42" s="34"/>
      <c r="C42" s="56">
        <v>-477143.52</v>
      </c>
      <c r="D42" s="56">
        <v>112109</v>
      </c>
      <c r="E42" s="225">
        <v>-365034.52</v>
      </c>
      <c r="K42" s="121"/>
      <c r="L42" s="123"/>
      <c r="M42" s="121"/>
      <c r="N42" s="121"/>
      <c r="O42" s="121"/>
      <c r="P42" s="121"/>
      <c r="Q42" s="121"/>
      <c r="R42" s="121"/>
    </row>
    <row r="43" spans="1:18" ht="14.7" thickBot="1" x14ac:dyDescent="0.55000000000000004">
      <c r="A43" s="226"/>
      <c r="B43" s="34"/>
      <c r="C43" s="56"/>
      <c r="D43" s="56"/>
      <c r="E43" s="225"/>
      <c r="K43" s="121"/>
      <c r="L43" s="122"/>
      <c r="M43" s="121"/>
      <c r="N43" s="121"/>
      <c r="O43" s="121"/>
      <c r="P43" s="121"/>
      <c r="Q43" s="121"/>
      <c r="R43" s="121"/>
    </row>
    <row r="44" spans="1:18" x14ac:dyDescent="0.5">
      <c r="A44" s="231"/>
      <c r="B44" s="232"/>
      <c r="C44" s="233"/>
      <c r="D44" s="233"/>
      <c r="E44" s="234"/>
      <c r="K44" s="121"/>
      <c r="L44" s="122"/>
      <c r="M44" s="121"/>
      <c r="N44" s="121"/>
      <c r="O44" s="121"/>
      <c r="P44" s="121"/>
      <c r="Q44" s="121"/>
      <c r="R44" s="121"/>
    </row>
    <row r="45" spans="1:18" x14ac:dyDescent="0.5">
      <c r="A45" s="222" t="s">
        <v>195</v>
      </c>
      <c r="B45" s="34"/>
      <c r="C45" s="56">
        <v>-1965208.96</v>
      </c>
      <c r="D45" s="56">
        <v>-163390.60999999999</v>
      </c>
      <c r="E45" s="225">
        <v>-2128599.5699999998</v>
      </c>
      <c r="K45" s="121"/>
      <c r="L45" s="123"/>
      <c r="M45" s="121"/>
      <c r="N45" s="121"/>
      <c r="O45" s="125"/>
      <c r="P45" s="121"/>
      <c r="Q45" s="121"/>
      <c r="R45" s="121"/>
    </row>
    <row r="46" spans="1:18" ht="14.7" thickBot="1" x14ac:dyDescent="0.55000000000000004">
      <c r="A46" s="226"/>
      <c r="B46" s="34"/>
      <c r="C46" s="56"/>
      <c r="D46" s="56"/>
      <c r="E46" s="225"/>
      <c r="K46" s="121"/>
      <c r="L46" s="122"/>
      <c r="M46" s="121"/>
      <c r="N46" s="121"/>
      <c r="O46" s="121"/>
      <c r="P46" s="121"/>
      <c r="Q46" s="121"/>
      <c r="R46" s="121"/>
    </row>
    <row r="47" spans="1:18" x14ac:dyDescent="0.5">
      <c r="A47" s="231"/>
      <c r="B47" s="232"/>
      <c r="C47" s="233"/>
      <c r="D47" s="233"/>
      <c r="E47" s="234"/>
      <c r="K47" s="121"/>
      <c r="L47" s="122"/>
      <c r="M47" s="121"/>
      <c r="N47" s="121"/>
      <c r="O47" s="121"/>
      <c r="P47" s="121"/>
      <c r="Q47" s="121"/>
      <c r="R47" s="121"/>
    </row>
    <row r="48" spans="1:18" x14ac:dyDescent="0.5">
      <c r="A48" s="222" t="s">
        <v>196</v>
      </c>
      <c r="B48" s="34"/>
      <c r="C48" s="56">
        <v>275499.61000000028</v>
      </c>
      <c r="D48" s="56">
        <v>-282613.68</v>
      </c>
      <c r="E48" s="235">
        <v>-7114.0699999998324</v>
      </c>
      <c r="K48" s="121"/>
      <c r="L48" s="122"/>
      <c r="M48" s="121"/>
      <c r="N48" s="121"/>
      <c r="O48" s="121"/>
      <c r="P48" s="121"/>
      <c r="Q48" s="121"/>
      <c r="R48" s="121"/>
    </row>
    <row r="49" spans="1:18" x14ac:dyDescent="0.5">
      <c r="A49" s="227"/>
      <c r="B49" s="228"/>
      <c r="C49" s="229"/>
      <c r="D49" s="229"/>
      <c r="E49" s="230"/>
      <c r="K49" s="121"/>
      <c r="L49" s="121"/>
      <c r="M49" s="121"/>
      <c r="N49" s="121"/>
      <c r="O49" s="121"/>
      <c r="P49" s="121"/>
      <c r="Q49" s="121"/>
      <c r="R49" s="121"/>
    </row>
    <row r="50" spans="1:18" x14ac:dyDescent="0.5">
      <c r="A50" s="34"/>
      <c r="B50" s="34"/>
      <c r="C50" s="56"/>
      <c r="D50" s="56"/>
      <c r="E50" s="56"/>
    </row>
    <row r="51" spans="1:18" x14ac:dyDescent="0.5">
      <c r="A51" s="34" t="s">
        <v>197</v>
      </c>
      <c r="B51" s="34"/>
      <c r="C51" s="34" t="s">
        <v>198</v>
      </c>
      <c r="D51" s="56"/>
      <c r="E51" s="56"/>
    </row>
    <row r="52" spans="1:18" x14ac:dyDescent="0.5">
      <c r="A52" s="1"/>
    </row>
    <row r="53" spans="1:18" x14ac:dyDescent="0.5">
      <c r="A53" s="1"/>
    </row>
    <row r="54" spans="1:18" x14ac:dyDescent="0.5">
      <c r="A54" s="1"/>
    </row>
    <row r="55" spans="1:18" x14ac:dyDescent="0.5">
      <c r="A55" s="1"/>
    </row>
    <row r="56" spans="1:18" x14ac:dyDescent="0.5">
      <c r="A56" s="1"/>
    </row>
    <row r="58" spans="1:18" hidden="1" x14ac:dyDescent="0.5">
      <c r="A58" s="1"/>
    </row>
    <row r="59" spans="1:18" x14ac:dyDescent="0.5">
      <c r="A59" s="1"/>
    </row>
    <row r="60" spans="1:18" x14ac:dyDescent="0.5">
      <c r="A60" s="1"/>
    </row>
    <row r="61" spans="1:18" x14ac:dyDescent="0.5">
      <c r="A61" s="1"/>
    </row>
    <row r="62" spans="1:18" x14ac:dyDescent="0.5">
      <c r="A62" s="1"/>
    </row>
    <row r="63" spans="1:18" x14ac:dyDescent="0.5">
      <c r="A63" s="1"/>
    </row>
    <row r="64" spans="1:18" x14ac:dyDescent="0.5">
      <c r="A64" s="1"/>
    </row>
    <row r="65" spans="1:1" x14ac:dyDescent="0.5">
      <c r="A65" s="1"/>
    </row>
    <row r="66" spans="1:1" x14ac:dyDescent="0.5">
      <c r="A66" s="1"/>
    </row>
    <row r="67" spans="1:1" x14ac:dyDescent="0.5">
      <c r="A67" s="1"/>
    </row>
    <row r="68" spans="1:1" x14ac:dyDescent="0.5">
      <c r="A68" s="1"/>
    </row>
    <row r="69" spans="1:1" x14ac:dyDescent="0.5">
      <c r="A69" s="1"/>
    </row>
    <row r="70" spans="1:1" x14ac:dyDescent="0.5">
      <c r="A70" s="1"/>
    </row>
    <row r="71" spans="1:1" x14ac:dyDescent="0.5">
      <c r="A71" s="1"/>
    </row>
    <row r="72" spans="1:1" x14ac:dyDescent="0.5">
      <c r="A72" s="1"/>
    </row>
    <row r="73" spans="1:1" x14ac:dyDescent="0.5">
      <c r="A73" s="1"/>
    </row>
    <row r="74" spans="1:1" x14ac:dyDescent="0.5">
      <c r="A74" s="1"/>
    </row>
    <row r="75" spans="1:1" x14ac:dyDescent="0.5">
      <c r="A75" s="1"/>
    </row>
    <row r="76" spans="1:1" x14ac:dyDescent="0.5">
      <c r="A76" s="1"/>
    </row>
    <row r="77" spans="1:1" x14ac:dyDescent="0.5">
      <c r="A77" s="1"/>
    </row>
    <row r="78" spans="1:1" x14ac:dyDescent="0.5">
      <c r="A78" s="1"/>
    </row>
    <row r="79" spans="1:1" x14ac:dyDescent="0.5">
      <c r="A79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zoomScale="112" zoomScaleNormal="112" workbookViewId="0">
      <selection sqref="A1:XFD1048576"/>
    </sheetView>
  </sheetViews>
  <sheetFormatPr defaultColWidth="9.1171875" defaultRowHeight="14.35" x14ac:dyDescent="0.5"/>
  <cols>
    <col min="1" max="1" width="9" style="27" customWidth="1"/>
    <col min="2" max="2" width="25.87890625" style="27" customWidth="1"/>
    <col min="3" max="3" width="14.1171875" style="27" customWidth="1"/>
    <col min="4" max="4" width="13.87890625" style="109" bestFit="1" customWidth="1"/>
    <col min="5" max="5" width="13.41015625" style="112" customWidth="1"/>
    <col min="6" max="6" width="15.41015625" style="1" customWidth="1"/>
    <col min="7" max="7" width="3.64453125" style="112" customWidth="1"/>
    <col min="8" max="8" width="12.29296875" style="112" customWidth="1"/>
    <col min="9" max="9" width="28.703125" style="112" customWidth="1"/>
    <col min="10" max="10" width="12.87890625" style="11" bestFit="1" customWidth="1"/>
    <col min="11" max="12" width="9.1171875" style="27"/>
    <col min="13" max="13" width="10.87890625" style="27" customWidth="1"/>
    <col min="14" max="16384" width="9.1171875" style="27"/>
  </cols>
  <sheetData>
    <row r="1" spans="1:9" x14ac:dyDescent="0.5">
      <c r="A1" s="3" t="s">
        <v>109</v>
      </c>
      <c r="B1" s="1"/>
      <c r="C1" s="1"/>
      <c r="D1" s="1"/>
    </row>
    <row r="2" spans="1:9" x14ac:dyDescent="0.5">
      <c r="A2" s="1"/>
      <c r="B2" s="1"/>
      <c r="D2" s="110"/>
    </row>
    <row r="3" spans="1:9" ht="15.7" x14ac:dyDescent="0.5">
      <c r="A3" s="1"/>
      <c r="B3" s="1"/>
      <c r="C3" s="110" t="s">
        <v>20</v>
      </c>
      <c r="D3" s="28" t="s">
        <v>35</v>
      </c>
      <c r="E3" s="28" t="s">
        <v>20</v>
      </c>
      <c r="F3" s="28" t="s">
        <v>35</v>
      </c>
      <c r="G3" s="28"/>
      <c r="H3" s="67"/>
      <c r="I3" s="67"/>
    </row>
    <row r="4" spans="1:9" ht="15.7" x14ac:dyDescent="0.5">
      <c r="A4" s="111" t="s">
        <v>13</v>
      </c>
      <c r="B4" s="111" t="s">
        <v>13</v>
      </c>
      <c r="C4" s="129">
        <v>2019</v>
      </c>
      <c r="D4" s="129">
        <v>2020</v>
      </c>
      <c r="E4" s="176">
        <v>2020</v>
      </c>
      <c r="F4" s="129">
        <v>2021</v>
      </c>
      <c r="G4" s="129"/>
      <c r="H4" s="67"/>
      <c r="I4" s="67"/>
    </row>
    <row r="5" spans="1:9" x14ac:dyDescent="0.5">
      <c r="A5" s="1" t="str">
        <f>"3014"</f>
        <v>3014</v>
      </c>
      <c r="B5" s="1" t="str">
        <f>"Medlemsavgifter"</f>
        <v>Medlemsavgifter</v>
      </c>
      <c r="C5" s="112">
        <v>144550</v>
      </c>
      <c r="D5" s="112">
        <v>145000</v>
      </c>
      <c r="E5" s="112">
        <v>158650</v>
      </c>
      <c r="F5" s="1">
        <v>145000</v>
      </c>
      <c r="H5" s="175"/>
      <c r="I5" s="175"/>
    </row>
    <row r="6" spans="1:9" x14ac:dyDescent="0.5">
      <c r="A6" s="1" t="str">
        <f>"3015"</f>
        <v>3015</v>
      </c>
      <c r="B6" s="1" t="str">
        <f>"Inträdesavgift/nyttjandeavgift"</f>
        <v>Inträdesavgift/nyttjandeavgift</v>
      </c>
      <c r="C6" s="112">
        <v>66100</v>
      </c>
      <c r="D6" s="112">
        <v>40000</v>
      </c>
      <c r="E6" s="112">
        <v>24225</v>
      </c>
      <c r="F6" s="1">
        <v>40000</v>
      </c>
      <c r="H6" s="175"/>
      <c r="I6" s="175"/>
    </row>
    <row r="7" spans="1:9" x14ac:dyDescent="0.5">
      <c r="A7" s="1" t="str">
        <f>"3016"</f>
        <v>3016</v>
      </c>
      <c r="B7" s="1" t="str">
        <f>"Grundavgift"</f>
        <v>Grundavgift</v>
      </c>
      <c r="C7" s="112">
        <v>144000</v>
      </c>
      <c r="D7" s="112">
        <v>130000</v>
      </c>
      <c r="E7" s="112">
        <v>142000</v>
      </c>
      <c r="F7" s="1">
        <v>130000</v>
      </c>
      <c r="H7" s="175"/>
      <c r="I7" s="175"/>
    </row>
    <row r="8" spans="1:9" x14ac:dyDescent="0.5">
      <c r="A8" s="1" t="str">
        <f>"3017"</f>
        <v>3017</v>
      </c>
      <c r="B8" s="1" t="str">
        <f>"Hamnavgift"</f>
        <v>Hamnavgift</v>
      </c>
      <c r="C8" s="112">
        <v>309910</v>
      </c>
      <c r="D8" s="112">
        <v>305000</v>
      </c>
      <c r="E8" s="112">
        <v>309297</v>
      </c>
      <c r="F8" s="1">
        <v>305000</v>
      </c>
      <c r="H8" s="175"/>
      <c r="I8" s="175"/>
    </row>
    <row r="9" spans="1:9" x14ac:dyDescent="0.5">
      <c r="A9" s="1" t="str">
        <f>"3018"</f>
        <v>3018</v>
      </c>
      <c r="B9" s="1" t="str">
        <f>"Varvsavgift"</f>
        <v>Varvsavgift</v>
      </c>
      <c r="C9" s="112">
        <v>388247</v>
      </c>
      <c r="D9" s="112">
        <v>385000</v>
      </c>
      <c r="E9" s="112">
        <v>466383</v>
      </c>
      <c r="F9" s="1">
        <v>385000</v>
      </c>
      <c r="H9" s="175"/>
      <c r="I9" s="175"/>
    </row>
    <row r="10" spans="1:9" x14ac:dyDescent="0.5">
      <c r="A10" s="1" t="str">
        <f>"3019"</f>
        <v>3019</v>
      </c>
      <c r="B10" s="1" t="str">
        <f>"Upptagnings och sjösättningsavgift"</f>
        <v>Upptagnings och sjösättningsavgift</v>
      </c>
      <c r="C10" s="112">
        <v>92400</v>
      </c>
      <c r="D10" s="112">
        <v>91000</v>
      </c>
      <c r="E10" s="112">
        <v>0</v>
      </c>
      <c r="F10" s="1">
        <v>91000</v>
      </c>
      <c r="H10" s="175"/>
      <c r="I10" s="175"/>
    </row>
    <row r="11" spans="1:9" x14ac:dyDescent="0.5">
      <c r="A11" s="1" t="str">
        <f>"3020"</f>
        <v>3020</v>
      </c>
      <c r="B11" s="1" t="str">
        <f>"Avgift skåp"</f>
        <v>Avgift skåp</v>
      </c>
      <c r="C11" s="112">
        <v>14250</v>
      </c>
      <c r="D11" s="112">
        <v>15000</v>
      </c>
      <c r="E11" s="112">
        <v>7000</v>
      </c>
      <c r="F11" s="1">
        <v>15000</v>
      </c>
      <c r="H11" s="175"/>
      <c r="I11" s="175"/>
    </row>
    <row r="12" spans="1:9" x14ac:dyDescent="0.5">
      <c r="A12" s="1" t="str">
        <f>"3021"</f>
        <v>3021</v>
      </c>
      <c r="B12" s="1" t="str">
        <f>"Nyckelintäkter"</f>
        <v>Nyckelintäkter</v>
      </c>
      <c r="C12" s="112">
        <v>2100</v>
      </c>
      <c r="D12" s="112">
        <v>3000</v>
      </c>
      <c r="E12" s="112">
        <v>78000</v>
      </c>
      <c r="F12" s="1">
        <v>3000</v>
      </c>
      <c r="H12" s="175"/>
      <c r="I12" s="175"/>
    </row>
    <row r="13" spans="1:9" x14ac:dyDescent="0.5">
      <c r="A13" s="1" t="str">
        <f>"3022"</f>
        <v>3022</v>
      </c>
      <c r="B13" s="1" t="str">
        <f>"Intäkter Jungfruholmarna"</f>
        <v>Intäkter Jungfruholmarna</v>
      </c>
      <c r="C13" s="112">
        <v>110457</v>
      </c>
      <c r="D13" s="112">
        <v>100000</v>
      </c>
      <c r="E13" s="112">
        <v>131294</v>
      </c>
      <c r="F13" s="1">
        <v>100000</v>
      </c>
      <c r="H13" s="175"/>
      <c r="I13" s="175"/>
    </row>
    <row r="14" spans="1:9" ht="16.5" customHeight="1" x14ac:dyDescent="0.5">
      <c r="A14" s="1" t="str">
        <f>"3024"</f>
        <v>3024</v>
      </c>
      <c r="B14" s="1" t="str">
        <f>"Elavgift vinterhamn"</f>
        <v>Elavgift vinterhamn</v>
      </c>
      <c r="C14" s="112">
        <v>11856</v>
      </c>
      <c r="D14" s="112">
        <v>12000</v>
      </c>
      <c r="E14" s="112">
        <v>5924</v>
      </c>
      <c r="F14" s="1">
        <v>12000</v>
      </c>
      <c r="H14" s="175"/>
      <c r="I14" s="175"/>
    </row>
    <row r="15" spans="1:9" x14ac:dyDescent="0.5">
      <c r="A15" s="1" t="str">
        <f>"3025"</f>
        <v>3025</v>
      </c>
      <c r="B15" s="1" t="str">
        <f>"Klubbarbete"</f>
        <v>Klubbarbete</v>
      </c>
      <c r="C15" s="112">
        <v>2000</v>
      </c>
      <c r="D15" s="112">
        <v>0</v>
      </c>
      <c r="E15" s="112">
        <v>-2500</v>
      </c>
      <c r="F15" s="1">
        <v>0</v>
      </c>
      <c r="H15" s="175"/>
      <c r="I15" s="175"/>
    </row>
    <row r="16" spans="1:9" x14ac:dyDescent="0.5">
      <c r="A16" s="1" t="str">
        <f>"3026"</f>
        <v>3026</v>
      </c>
      <c r="B16" s="1" t="str">
        <f>"förseningsavgifter"</f>
        <v>förseningsavgifter</v>
      </c>
      <c r="C16" s="112">
        <v>1000</v>
      </c>
      <c r="D16" s="112">
        <v>0</v>
      </c>
      <c r="E16" s="112">
        <v>-100</v>
      </c>
      <c r="F16" s="1">
        <v>0</v>
      </c>
      <c r="H16" s="175"/>
      <c r="I16" s="175"/>
    </row>
    <row r="17" spans="1:13" x14ac:dyDescent="0.5">
      <c r="A17" s="1" t="str">
        <f>"3028"</f>
        <v>3028</v>
      </c>
      <c r="B17" s="1" t="str">
        <f>"Jollefack avgifter"</f>
        <v>Jollefack avgifter</v>
      </c>
      <c r="C17" s="112">
        <v>350</v>
      </c>
      <c r="D17" s="112">
        <v>2500</v>
      </c>
      <c r="E17" s="112">
        <v>0</v>
      </c>
      <c r="F17" s="1">
        <v>2500</v>
      </c>
    </row>
    <row r="18" spans="1:13" x14ac:dyDescent="0.5">
      <c r="A18" s="1" t="str">
        <f>"3030"</f>
        <v>3030</v>
      </c>
      <c r="B18" s="1" t="str">
        <f>"Uthyrning klubblokal"</f>
        <v>Uthyrning klubblokal</v>
      </c>
      <c r="C18" s="112">
        <v>35750</v>
      </c>
      <c r="D18" s="112">
        <v>20000</v>
      </c>
      <c r="E18" s="112">
        <v>1375</v>
      </c>
      <c r="F18" s="1">
        <v>20000</v>
      </c>
    </row>
    <row r="19" spans="1:13" x14ac:dyDescent="0.5">
      <c r="A19" s="1" t="str">
        <f>"3050"</f>
        <v>3050</v>
      </c>
      <c r="B19" s="1" t="str">
        <f>"Försäljning övrigt"</f>
        <v>Försäljning övrigt</v>
      </c>
      <c r="C19" s="112">
        <v>28200</v>
      </c>
      <c r="D19" s="112">
        <v>2000</v>
      </c>
      <c r="E19" s="112">
        <v>7954</v>
      </c>
      <c r="F19" s="1">
        <v>2000</v>
      </c>
    </row>
    <row r="20" spans="1:13" x14ac:dyDescent="0.5">
      <c r="A20" s="1" t="str">
        <f>"3880"</f>
        <v>3880</v>
      </c>
      <c r="B20" s="1" t="str">
        <f>"Försäkringsersättningar"</f>
        <v>Försäkringsersättningar</v>
      </c>
      <c r="C20" s="112">
        <v>20000</v>
      </c>
      <c r="D20" s="112">
        <v>0</v>
      </c>
      <c r="E20" s="112">
        <v>0</v>
      </c>
      <c r="F20" s="1">
        <v>0</v>
      </c>
    </row>
    <row r="21" spans="1:13" x14ac:dyDescent="0.5">
      <c r="A21" s="5" t="s">
        <v>18</v>
      </c>
      <c r="B21" s="4"/>
      <c r="C21" s="4">
        <f>SUM(C5:C20)</f>
        <v>1371170</v>
      </c>
      <c r="D21" s="4">
        <f>SUM(D5:D20)</f>
        <v>1250500</v>
      </c>
      <c r="E21" s="4">
        <f>SUM(E5:E20)</f>
        <v>1329502</v>
      </c>
      <c r="F21" s="4">
        <f>SUM(F5:F20)</f>
        <v>1250500</v>
      </c>
      <c r="G21" s="122"/>
    </row>
    <row r="22" spans="1:13" x14ac:dyDescent="0.5">
      <c r="A22" s="111"/>
      <c r="B22" s="112"/>
      <c r="C22" s="112"/>
      <c r="D22" s="112"/>
      <c r="F22" s="112"/>
    </row>
    <row r="23" spans="1:13" ht="15.7" x14ac:dyDescent="0.5">
      <c r="A23" s="114"/>
      <c r="B23" s="89"/>
      <c r="C23" s="89"/>
      <c r="D23" s="89"/>
      <c r="E23" s="89"/>
      <c r="F23" s="89"/>
      <c r="G23" s="89"/>
    </row>
    <row r="24" spans="1:13" ht="15.7" x14ac:dyDescent="0.5">
      <c r="C24" s="89"/>
      <c r="D24" s="89"/>
      <c r="E24" s="89"/>
      <c r="F24" s="89"/>
      <c r="G24" s="89"/>
    </row>
    <row r="25" spans="1:13" ht="15.7" x14ac:dyDescent="0.5">
      <c r="A25" s="89"/>
      <c r="B25" s="89"/>
      <c r="C25" s="89"/>
      <c r="D25" s="89"/>
      <c r="E25" s="89"/>
      <c r="F25" s="89"/>
      <c r="G25" s="89"/>
    </row>
    <row r="26" spans="1:13" ht="23.35" x14ac:dyDescent="0.8">
      <c r="A26" s="115"/>
      <c r="B26" s="116"/>
      <c r="C26" s="117"/>
      <c r="D26" s="117"/>
      <c r="E26" s="117"/>
      <c r="F26" s="117"/>
      <c r="G26" s="153"/>
      <c r="H26" s="57"/>
      <c r="I26" s="56"/>
      <c r="J26" s="27"/>
    </row>
    <row r="27" spans="1:13" ht="15.7" x14ac:dyDescent="0.5">
      <c r="A27" s="113"/>
      <c r="B27" s="89"/>
      <c r="C27" s="89"/>
      <c r="D27" s="89"/>
      <c r="E27" s="89"/>
      <c r="F27" s="89">
        <f>SUM(F24:F26)</f>
        <v>0</v>
      </c>
      <c r="G27" s="89"/>
      <c r="H27" s="27"/>
      <c r="I27" s="27"/>
      <c r="J27" s="27"/>
    </row>
    <row r="28" spans="1:13" ht="15.7" x14ac:dyDescent="0.5">
      <c r="A28" s="113"/>
      <c r="B28" s="89"/>
      <c r="C28" s="89"/>
      <c r="D28" s="89"/>
      <c r="E28" s="89"/>
      <c r="F28" s="89"/>
      <c r="G28" s="89"/>
      <c r="H28" s="27"/>
      <c r="I28" s="27"/>
      <c r="J28" s="128"/>
      <c r="K28" s="128"/>
      <c r="L28" s="128"/>
      <c r="M28" s="128"/>
    </row>
    <row r="29" spans="1:13" ht="15.7" x14ac:dyDescent="0.5">
      <c r="A29" s="3" t="s">
        <v>50</v>
      </c>
      <c r="B29" s="1"/>
      <c r="C29" s="1"/>
      <c r="D29" s="1"/>
      <c r="E29" s="89"/>
      <c r="F29" s="89"/>
      <c r="G29" s="89"/>
      <c r="H29" s="127"/>
      <c r="I29" s="109"/>
      <c r="J29" s="109"/>
      <c r="K29" s="109"/>
      <c r="L29" s="109"/>
    </row>
    <row r="30" spans="1:13" ht="15.7" x14ac:dyDescent="0.5">
      <c r="A30" s="113"/>
      <c r="B30" s="89"/>
      <c r="C30" s="89"/>
      <c r="D30" s="89"/>
      <c r="E30" s="89"/>
      <c r="F30" s="89"/>
      <c r="G30" s="89"/>
      <c r="H30" s="127"/>
      <c r="I30" s="109"/>
      <c r="J30" s="109"/>
      <c r="K30" s="109"/>
      <c r="L30" s="109"/>
    </row>
    <row r="31" spans="1:13" x14ac:dyDescent="0.5">
      <c r="A31" s="1"/>
      <c r="B31" s="1"/>
      <c r="C31" s="110" t="s">
        <v>20</v>
      </c>
      <c r="D31" s="28" t="s">
        <v>35</v>
      </c>
      <c r="E31" s="28" t="s">
        <v>20</v>
      </c>
      <c r="F31" s="28" t="s">
        <v>35</v>
      </c>
      <c r="G31" s="28"/>
      <c r="H31" s="127"/>
      <c r="I31" s="109"/>
      <c r="J31" s="109"/>
      <c r="K31" s="109"/>
      <c r="L31" s="109"/>
    </row>
    <row r="32" spans="1:13" x14ac:dyDescent="0.5">
      <c r="A32" s="3" t="s">
        <v>11</v>
      </c>
      <c r="B32" s="3"/>
      <c r="C32" s="129">
        <v>2019</v>
      </c>
      <c r="D32" s="129">
        <v>2020</v>
      </c>
      <c r="E32" s="176">
        <v>2020</v>
      </c>
      <c r="F32" s="129">
        <v>2021</v>
      </c>
      <c r="G32" s="129"/>
      <c r="H32" s="127"/>
      <c r="I32" s="109"/>
      <c r="J32" s="109"/>
      <c r="K32" s="109"/>
      <c r="L32" s="109"/>
    </row>
    <row r="33" spans="1:14" x14ac:dyDescent="0.5">
      <c r="A33" s="1" t="str">
        <f>"6010"</f>
        <v>6010</v>
      </c>
      <c r="B33" s="1" t="str">
        <f>"Lokalhyra"</f>
        <v>Lokalhyra</v>
      </c>
      <c r="C33" s="112">
        <v>-146716</v>
      </c>
      <c r="D33" s="112">
        <v>-120000</v>
      </c>
      <c r="E33" s="112">
        <v>-88878</v>
      </c>
      <c r="F33" s="1">
        <v>-120000</v>
      </c>
      <c r="H33" s="127"/>
      <c r="I33" s="109"/>
      <c r="J33" s="109"/>
      <c r="K33" s="109"/>
      <c r="L33" s="109"/>
    </row>
    <row r="34" spans="1:14" x14ac:dyDescent="0.5">
      <c r="A34" s="1" t="str">
        <f>"6011"</f>
        <v>6011</v>
      </c>
      <c r="B34" s="1" t="str">
        <f>"Tomträttsavgäld /arrende"</f>
        <v>Tomträttsavgäld /arrende</v>
      </c>
      <c r="C34" s="112">
        <v>-257552</v>
      </c>
      <c r="D34" s="112">
        <v>-386000</v>
      </c>
      <c r="E34" s="112">
        <v>-385692</v>
      </c>
      <c r="F34" s="112">
        <v>-386000</v>
      </c>
      <c r="H34" s="127"/>
      <c r="I34" s="109"/>
      <c r="J34" s="109"/>
      <c r="K34" s="109"/>
      <c r="L34" s="109"/>
    </row>
    <row r="35" spans="1:14" x14ac:dyDescent="0.5">
      <c r="A35" s="1" t="str">
        <f>"6040"</f>
        <v>6040</v>
      </c>
      <c r="B35" s="1" t="str">
        <f>"Drivmedel"</f>
        <v>Drivmedel</v>
      </c>
      <c r="C35" s="112">
        <v>-15279.36</v>
      </c>
      <c r="D35" s="112">
        <v>-18000</v>
      </c>
      <c r="E35" s="112">
        <v>-12680.78</v>
      </c>
      <c r="F35" s="1">
        <v>-18000</v>
      </c>
      <c r="H35" s="127"/>
      <c r="I35" s="109"/>
      <c r="J35" s="109"/>
      <c r="K35" s="109"/>
      <c r="L35" s="109"/>
    </row>
    <row r="36" spans="1:14" x14ac:dyDescent="0.5">
      <c r="A36" s="1" t="str">
        <f>"6070"</f>
        <v>6070</v>
      </c>
      <c r="B36" s="1" t="str">
        <f>"Städning och renhållning"</f>
        <v>Städning och renhållning</v>
      </c>
      <c r="C36" s="112">
        <v>-1434</v>
      </c>
      <c r="D36" s="112">
        <v>-3000</v>
      </c>
      <c r="E36" s="112">
        <v>-1426</v>
      </c>
      <c r="F36" s="1">
        <v>-3000</v>
      </c>
      <c r="H36" s="27"/>
      <c r="I36" s="27"/>
      <c r="J36" s="27"/>
    </row>
    <row r="37" spans="1:14" x14ac:dyDescent="0.5">
      <c r="A37" s="1" t="str">
        <f>"6080"</f>
        <v>6080</v>
      </c>
      <c r="B37" s="1" t="str">
        <f>"Reparation och underhåll"</f>
        <v>Reparation och underhåll</v>
      </c>
      <c r="C37" s="112">
        <v>-32496.7</v>
      </c>
      <c r="D37" s="112">
        <v>-325000</v>
      </c>
      <c r="E37" s="112">
        <v>-154496.85</v>
      </c>
      <c r="F37" s="61">
        <v>-590000</v>
      </c>
      <c r="H37" s="175"/>
      <c r="I37" s="175"/>
    </row>
    <row r="38" spans="1:14" x14ac:dyDescent="0.5">
      <c r="A38" s="1" t="str">
        <f>"6200"</f>
        <v>6200</v>
      </c>
      <c r="B38" s="1" t="str">
        <f>"Elavgifter"</f>
        <v>Elavgifter</v>
      </c>
      <c r="C38" s="112">
        <v>-104784</v>
      </c>
      <c r="D38" s="112">
        <v>-110000</v>
      </c>
      <c r="E38" s="112">
        <v>-98188</v>
      </c>
      <c r="F38" s="1">
        <v>-105000</v>
      </c>
      <c r="H38" s="175"/>
      <c r="I38" s="175"/>
    </row>
    <row r="39" spans="1:14" x14ac:dyDescent="0.5">
      <c r="A39" s="1" t="str">
        <f>"6201"</f>
        <v>6201</v>
      </c>
      <c r="B39" s="1" t="str">
        <f>"Vatten och Avloppsavgifter"</f>
        <v>Vatten och Avloppsavgifter</v>
      </c>
      <c r="C39" s="112">
        <v>-2198</v>
      </c>
      <c r="D39" s="112">
        <v>-10000</v>
      </c>
      <c r="E39" s="112">
        <v>-13699</v>
      </c>
      <c r="F39" s="1">
        <v>-10000</v>
      </c>
      <c r="H39" s="175"/>
      <c r="I39" s="175"/>
    </row>
    <row r="40" spans="1:14" x14ac:dyDescent="0.5">
      <c r="A40" s="1" t="str">
        <f>"6202"</f>
        <v>6202</v>
      </c>
      <c r="B40" s="1" t="str">
        <f>"Sophämtning"</f>
        <v>Sophämtning</v>
      </c>
      <c r="C40" s="112">
        <v>-35767.25</v>
      </c>
      <c r="D40" s="112">
        <v>-25000</v>
      </c>
      <c r="E40" s="112">
        <v>-13332</v>
      </c>
      <c r="F40" s="1">
        <v>-34000</v>
      </c>
      <c r="H40" s="175"/>
      <c r="I40" s="175"/>
    </row>
    <row r="41" spans="1:14" x14ac:dyDescent="0.5">
      <c r="A41" s="1" t="str">
        <f>"6203"</f>
        <v>6203</v>
      </c>
      <c r="B41" s="1" t="str">
        <f>"Miljökostnader"</f>
        <v>Miljökostnader</v>
      </c>
      <c r="C41" s="112">
        <v>-25154</v>
      </c>
      <c r="D41" s="112">
        <v>-25000</v>
      </c>
      <c r="E41" s="112">
        <v>-31795.25</v>
      </c>
      <c r="F41" s="1">
        <v>-25000</v>
      </c>
      <c r="H41" s="175"/>
      <c r="I41" s="175"/>
    </row>
    <row r="42" spans="1:14" x14ac:dyDescent="0.5">
      <c r="A42" s="1" t="str">
        <f>"6410"</f>
        <v>6410</v>
      </c>
      <c r="B42" s="1" t="str">
        <f>"Förbrukningsinventarier/mtrl"</f>
        <v>Förbrukningsinventarier/mtrl</v>
      </c>
      <c r="C42" s="112">
        <v>-99263</v>
      </c>
      <c r="D42" s="112">
        <v>-62000</v>
      </c>
      <c r="E42" s="112">
        <v>-152360.12</v>
      </c>
      <c r="F42" s="61">
        <v>-63000</v>
      </c>
      <c r="H42" s="175"/>
      <c r="I42" s="175"/>
    </row>
    <row r="43" spans="1:14" x14ac:dyDescent="0.5">
      <c r="A43" s="1" t="str">
        <f>"6510"</f>
        <v>6510</v>
      </c>
      <c r="B43" s="1" t="str">
        <f>"Administrationskostnader"</f>
        <v>Administrationskostnader</v>
      </c>
      <c r="C43" s="112">
        <v>-5135</v>
      </c>
      <c r="D43" s="112">
        <v>-5000</v>
      </c>
      <c r="E43" s="112">
        <v>-1595</v>
      </c>
      <c r="F43" s="1">
        <v>-5000</v>
      </c>
      <c r="H43" s="175"/>
      <c r="I43" s="175"/>
    </row>
    <row r="44" spans="1:14" x14ac:dyDescent="0.5">
      <c r="A44" s="1" t="str">
        <f>"6550"</f>
        <v>6550</v>
      </c>
      <c r="B44" s="1" t="str">
        <f>"Trycksaker/Arkiv"</f>
        <v>Trycksaker/Arkiv</v>
      </c>
      <c r="C44" s="112">
        <v>-31915</v>
      </c>
      <c r="D44" s="112">
        <v>-32000</v>
      </c>
      <c r="E44" s="112">
        <v>-36840</v>
      </c>
      <c r="F44" s="1">
        <v>-40000</v>
      </c>
      <c r="H44" s="175"/>
      <c r="I44" s="175"/>
    </row>
    <row r="45" spans="1:14" x14ac:dyDescent="0.5">
      <c r="A45" s="1" t="str">
        <f>"6740"</f>
        <v>6740</v>
      </c>
      <c r="B45" s="1" t="str">
        <f>"Data och bredbands kostnader"</f>
        <v>Data och bredbands kostnader</v>
      </c>
      <c r="C45" s="112">
        <v>-26773.599999999999</v>
      </c>
      <c r="D45" s="112">
        <v>-29000</v>
      </c>
      <c r="E45" s="112">
        <v>-19864</v>
      </c>
      <c r="F45" s="1">
        <v>-22000</v>
      </c>
      <c r="H45" s="175"/>
      <c r="I45" s="175"/>
    </row>
    <row r="46" spans="1:14" x14ac:dyDescent="0.5">
      <c r="A46" s="1" t="str">
        <f>"6811"</f>
        <v>6811</v>
      </c>
      <c r="B46" s="1" t="str">
        <f>"Telefon"</f>
        <v>Telefon</v>
      </c>
      <c r="C46" s="112">
        <v>-2581</v>
      </c>
      <c r="D46" s="112">
        <v>-2000</v>
      </c>
      <c r="E46" s="112">
        <v>-3431.92</v>
      </c>
      <c r="F46" s="1">
        <v>-4000</v>
      </c>
      <c r="H46" s="175"/>
      <c r="I46" s="175"/>
    </row>
    <row r="47" spans="1:14" x14ac:dyDescent="0.5">
      <c r="A47" s="1" t="str">
        <f>"6850"</f>
        <v>6850</v>
      </c>
      <c r="B47" s="1" t="str">
        <f>"Porto"</f>
        <v>Porto</v>
      </c>
      <c r="C47" s="112">
        <v>-11191</v>
      </c>
      <c r="D47" s="112">
        <v>-13000</v>
      </c>
      <c r="E47" s="112">
        <v>-13273</v>
      </c>
      <c r="F47" s="1">
        <v>-14000</v>
      </c>
      <c r="H47" s="175"/>
      <c r="I47" s="175"/>
      <c r="N47" s="27">
        <f>SUM(J43+J46)</f>
        <v>0</v>
      </c>
    </row>
    <row r="48" spans="1:14" x14ac:dyDescent="0.5">
      <c r="A48" s="1" t="str">
        <f>"6911"</f>
        <v>6911</v>
      </c>
      <c r="B48" s="1" t="str">
        <f>"Båtkostnader"</f>
        <v>Båtkostnader</v>
      </c>
      <c r="C48" s="112">
        <v>263</v>
      </c>
      <c r="D48" s="112">
        <v>-50000</v>
      </c>
      <c r="E48" s="112">
        <v>0</v>
      </c>
      <c r="F48" s="1">
        <v>0</v>
      </c>
      <c r="H48" s="175"/>
      <c r="I48" s="175"/>
    </row>
    <row r="49" spans="1:9" x14ac:dyDescent="0.5">
      <c r="A49" s="1" t="str">
        <f>"7050"</f>
        <v>7050</v>
      </c>
      <c r="B49" s="1" t="str">
        <f>"Resekostnader"</f>
        <v>Resekostnader</v>
      </c>
      <c r="C49" s="112">
        <v>0</v>
      </c>
      <c r="D49" s="112">
        <v>-1000</v>
      </c>
      <c r="E49" s="112">
        <v>0</v>
      </c>
      <c r="F49" s="1">
        <v>0</v>
      </c>
      <c r="H49" s="175"/>
      <c r="I49" s="175"/>
    </row>
    <row r="50" spans="1:9" x14ac:dyDescent="0.5">
      <c r="A50" s="1" t="str">
        <f>"7171"</f>
        <v>7171</v>
      </c>
      <c r="B50" s="1" t="str">
        <f>"Styrelsen"</f>
        <v>Styrelsen</v>
      </c>
      <c r="C50" s="112">
        <v>-18383</v>
      </c>
      <c r="D50" s="112">
        <v>-300000</v>
      </c>
      <c r="E50" s="112">
        <v>-16206</v>
      </c>
      <c r="F50" s="1">
        <v>-100000</v>
      </c>
      <c r="H50" s="175"/>
      <c r="I50" s="175"/>
    </row>
    <row r="51" spans="1:9" x14ac:dyDescent="0.5">
      <c r="A51" s="1" t="str">
        <f>"7200"</f>
        <v>7200</v>
      </c>
      <c r="B51" s="1" t="str">
        <f>"Utbildning"</f>
        <v>Utbildning</v>
      </c>
      <c r="C51" s="112">
        <v>0</v>
      </c>
      <c r="D51" s="112">
        <v>-6000</v>
      </c>
      <c r="E51" s="112">
        <v>-550</v>
      </c>
      <c r="F51" s="1">
        <v>-5000</v>
      </c>
      <c r="H51" s="175"/>
      <c r="I51" s="175"/>
    </row>
    <row r="52" spans="1:9" x14ac:dyDescent="0.5">
      <c r="A52" s="1" t="str">
        <f>"7310"</f>
        <v>7310</v>
      </c>
      <c r="B52" s="1" t="str">
        <f>"Försäkran fastighet"</f>
        <v>Försäkran fastighet</v>
      </c>
      <c r="C52" s="112">
        <v>-24029</v>
      </c>
      <c r="D52" s="112">
        <v>-20000</v>
      </c>
      <c r="E52" s="112">
        <v>-20655</v>
      </c>
      <c r="F52" s="1">
        <v>-20000</v>
      </c>
      <c r="H52" s="175"/>
      <c r="I52" s="175"/>
    </row>
    <row r="53" spans="1:9" x14ac:dyDescent="0.5">
      <c r="A53" s="1" t="str">
        <f>"7311"</f>
        <v>7311</v>
      </c>
      <c r="B53" s="1" t="str">
        <f>"Försäkring övriga"</f>
        <v>Försäkring övriga</v>
      </c>
      <c r="C53" s="112">
        <v>-5208</v>
      </c>
      <c r="D53" s="112">
        <v>-6000</v>
      </c>
      <c r="E53" s="112">
        <v>-5486</v>
      </c>
      <c r="F53" s="1">
        <v>-7000</v>
      </c>
      <c r="H53" s="175"/>
      <c r="I53" s="175"/>
    </row>
    <row r="54" spans="1:9" x14ac:dyDescent="0.5">
      <c r="A54" s="1" t="str">
        <f>"7430"</f>
        <v>7430</v>
      </c>
      <c r="B54" s="1" t="str">
        <f>"Styrelsearvode"</f>
        <v>Styrelsearvode</v>
      </c>
      <c r="C54" s="112">
        <v>-52000.4</v>
      </c>
      <c r="D54" s="112">
        <v>-52000</v>
      </c>
      <c r="E54" s="112">
        <v>-52000</v>
      </c>
      <c r="F54" s="1">
        <v>-52000</v>
      </c>
      <c r="H54" s="175"/>
      <c r="I54" s="175"/>
    </row>
    <row r="55" spans="1:9" x14ac:dyDescent="0.5">
      <c r="A55" s="1" t="str">
        <f>"7431"</f>
        <v>7431</v>
      </c>
      <c r="B55" s="1" t="str">
        <f>"Sociala avgifter"</f>
        <v>Sociala avgifter</v>
      </c>
      <c r="C55" s="112">
        <v>-12095.53</v>
      </c>
      <c r="D55" s="112">
        <v>-12000</v>
      </c>
      <c r="E55" s="112">
        <v>-12945</v>
      </c>
      <c r="F55" s="1">
        <v>-13000</v>
      </c>
      <c r="H55" s="175"/>
      <c r="I55" s="175"/>
    </row>
    <row r="56" spans="1:9" x14ac:dyDescent="0.5">
      <c r="A56" s="1" t="str">
        <f>"7681"</f>
        <v>7681</v>
      </c>
      <c r="B56" s="1" t="str">
        <f>"Avgifter för båtförbund"</f>
        <v>Avgifter för båtförbund</v>
      </c>
      <c r="C56" s="112">
        <v>-53173</v>
      </c>
      <c r="D56" s="112">
        <v>-59000</v>
      </c>
      <c r="E56" s="112">
        <v>-53217</v>
      </c>
      <c r="F56" s="1">
        <v>-55000</v>
      </c>
      <c r="H56" s="175"/>
      <c r="I56" s="175"/>
    </row>
    <row r="57" spans="1:9" x14ac:dyDescent="0.5">
      <c r="A57" s="1" t="str">
        <f>"7690"</f>
        <v>7690</v>
      </c>
      <c r="B57" s="1" t="str">
        <f>"Övr kostnader"</f>
        <v>Övr kostnader</v>
      </c>
      <c r="C57" s="112">
        <v>-18144</v>
      </c>
      <c r="D57" s="112">
        <v>-32000</v>
      </c>
      <c r="E57" s="112">
        <v>-28484</v>
      </c>
      <c r="F57" s="1">
        <v>-40000</v>
      </c>
    </row>
    <row r="58" spans="1:9" x14ac:dyDescent="0.5">
      <c r="A58" s="5" t="s">
        <v>16</v>
      </c>
      <c r="B58" s="5"/>
      <c r="C58" s="4">
        <f>SUM(C33:C57)</f>
        <v>-981009.84000000008</v>
      </c>
      <c r="D58" s="4">
        <f>SUM(D33:D57)</f>
        <v>-1703000</v>
      </c>
      <c r="E58" s="4">
        <f>SUM(E33:E57)</f>
        <v>-1217094.92</v>
      </c>
      <c r="F58" s="4">
        <f>SUM(F33:F57)</f>
        <v>-1731000</v>
      </c>
      <c r="G58" s="122"/>
    </row>
    <row r="59" spans="1:9" x14ac:dyDescent="0.5">
      <c r="A59" s="1"/>
      <c r="B59" s="1"/>
      <c r="C59" s="1"/>
      <c r="D59" s="1"/>
    </row>
    <row r="60" spans="1:9" x14ac:dyDescent="0.5">
      <c r="A60" s="112"/>
      <c r="B60" s="112"/>
      <c r="C60" s="110" t="s">
        <v>20</v>
      </c>
      <c r="D60" s="28" t="s">
        <v>35</v>
      </c>
      <c r="E60" s="28" t="s">
        <v>20</v>
      </c>
      <c r="F60" s="28" t="s">
        <v>35</v>
      </c>
      <c r="G60" s="28"/>
    </row>
    <row r="61" spans="1:9" x14ac:dyDescent="0.5">
      <c r="A61" s="111" t="s">
        <v>11</v>
      </c>
      <c r="B61" s="111"/>
      <c r="C61" s="129">
        <v>2019</v>
      </c>
      <c r="D61" s="129">
        <v>2020</v>
      </c>
      <c r="E61" s="176">
        <v>2020</v>
      </c>
      <c r="F61" s="129">
        <v>2021</v>
      </c>
      <c r="G61" s="129"/>
    </row>
    <row r="62" spans="1:9" x14ac:dyDescent="0.5">
      <c r="A62" s="1"/>
      <c r="B62" s="122" t="str">
        <f>"Avskrivning maskiner"</f>
        <v>Avskrivning maskiner</v>
      </c>
      <c r="C62" s="122">
        <v>-40000</v>
      </c>
      <c r="D62" s="122">
        <v>-40000</v>
      </c>
      <c r="E62" s="122">
        <v>-45000</v>
      </c>
      <c r="F62" s="122">
        <v>-45000</v>
      </c>
      <c r="G62" s="122"/>
    </row>
    <row r="63" spans="1:9" x14ac:dyDescent="0.5">
      <c r="A63" s="1"/>
      <c r="B63" s="122" t="str">
        <f>"Avskrivningar övrigt"</f>
        <v>Avskrivningar övrigt</v>
      </c>
      <c r="C63" s="122"/>
      <c r="D63" s="122"/>
      <c r="E63" s="122"/>
      <c r="F63" s="122">
        <v>-5000</v>
      </c>
      <c r="G63" s="122"/>
    </row>
    <row r="64" spans="1:9" x14ac:dyDescent="0.5">
      <c r="A64" s="1"/>
      <c r="B64" s="126" t="str">
        <f>"Avskrivning byggnad"</f>
        <v>Avskrivning byggnad</v>
      </c>
      <c r="C64" s="126">
        <v>-70000</v>
      </c>
      <c r="D64" s="126">
        <v>-70000</v>
      </c>
      <c r="E64" s="126">
        <v>-70000</v>
      </c>
      <c r="F64" s="126">
        <v>-70000</v>
      </c>
      <c r="G64" s="122"/>
    </row>
    <row r="65" spans="1:7" x14ac:dyDescent="0.5">
      <c r="A65" s="2"/>
      <c r="B65" s="122"/>
      <c r="C65" s="122"/>
      <c r="D65" s="112"/>
      <c r="E65" s="122"/>
    </row>
    <row r="66" spans="1:7" x14ac:dyDescent="0.5">
      <c r="A66" s="3" t="s">
        <v>19</v>
      </c>
      <c r="B66" s="3"/>
      <c r="C66" s="112">
        <f>SUM(C62:C64)</f>
        <v>-110000</v>
      </c>
      <c r="D66" s="112">
        <f>SUM(D62:D64)</f>
        <v>-110000</v>
      </c>
      <c r="E66" s="112">
        <f>SUM(E62:E64)</f>
        <v>-115000</v>
      </c>
      <c r="F66" s="1">
        <f>SUM(F62:F64)</f>
        <v>-120000</v>
      </c>
    </row>
    <row r="67" spans="1:7" x14ac:dyDescent="0.5">
      <c r="A67" s="58">
        <v>8121</v>
      </c>
      <c r="B67" s="1" t="s">
        <v>48</v>
      </c>
      <c r="C67" s="112"/>
      <c r="D67" s="112"/>
    </row>
    <row r="68" spans="1:7" x14ac:dyDescent="0.5">
      <c r="A68" s="1" t="str">
        <f>"8170"</f>
        <v>8170</v>
      </c>
      <c r="B68" s="1" t="str">
        <f>"Bankkostnader"</f>
        <v>Bankkostnader</v>
      </c>
      <c r="C68" s="112">
        <v>-4397.1414000000004</v>
      </c>
      <c r="D68" s="112">
        <v>-5000</v>
      </c>
      <c r="E68" s="112">
        <v>-4521</v>
      </c>
      <c r="F68" s="1">
        <v>-5000</v>
      </c>
    </row>
    <row r="69" spans="1:7" x14ac:dyDescent="0.5">
      <c r="A69" s="2"/>
      <c r="B69" s="2"/>
      <c r="C69" s="2"/>
      <c r="D69" s="112"/>
      <c r="E69" s="2"/>
    </row>
    <row r="70" spans="1:7" x14ac:dyDescent="0.5">
      <c r="A70" s="3" t="s">
        <v>21</v>
      </c>
      <c r="B70" s="3"/>
      <c r="C70" s="112">
        <f>SUM(C67+C68)</f>
        <v>-4397.1414000000004</v>
      </c>
      <c r="D70" s="112">
        <f>SUM(D68)</f>
        <v>-5000</v>
      </c>
      <c r="E70" s="112">
        <f>SUM(E67+E68)</f>
        <v>-4521</v>
      </c>
      <c r="F70" s="1">
        <f>SUM(F68)</f>
        <v>-5000</v>
      </c>
    </row>
    <row r="71" spans="1:7" x14ac:dyDescent="0.5">
      <c r="C71" s="109"/>
      <c r="D71" s="112"/>
    </row>
    <row r="72" spans="1:7" hidden="1" x14ac:dyDescent="0.5">
      <c r="A72" s="1"/>
      <c r="B72" s="1"/>
      <c r="C72" s="112"/>
      <c r="D72" s="112"/>
    </row>
    <row r="73" spans="1:7" x14ac:dyDescent="0.5">
      <c r="C73" s="112">
        <f>SUM(C58+C66+C70)</f>
        <v>-1095406.9814000002</v>
      </c>
      <c r="D73" s="112">
        <f>SUM(D58+D66+D68)</f>
        <v>-1818000</v>
      </c>
      <c r="E73" s="112">
        <f>SUM(E58+E66+E70)</f>
        <v>-1336615.92</v>
      </c>
      <c r="F73" s="1">
        <f>SUM(F58+F66+F68)</f>
        <v>-1856000</v>
      </c>
    </row>
    <row r="74" spans="1:7" x14ac:dyDescent="0.5">
      <c r="A74" s="1"/>
      <c r="B74" s="1"/>
      <c r="C74" s="112"/>
      <c r="D74" s="112"/>
    </row>
    <row r="75" spans="1:7" x14ac:dyDescent="0.5">
      <c r="A75" s="29" t="s">
        <v>20</v>
      </c>
      <c r="B75" s="5"/>
      <c r="C75" s="5">
        <f>SUM(C21+C73)</f>
        <v>275763.01859999984</v>
      </c>
      <c r="D75" s="5">
        <f>SUM(D21+D73)</f>
        <v>-567500</v>
      </c>
      <c r="E75" s="5">
        <f>SUM(E21+E73)</f>
        <v>-7113.9199999999255</v>
      </c>
      <c r="F75" s="5">
        <f>SUM(F21+F73)</f>
        <v>-605500</v>
      </c>
      <c r="G75" s="123"/>
    </row>
    <row r="76" spans="1:7" x14ac:dyDescent="0.5">
      <c r="A76" s="1"/>
      <c r="B76" s="1"/>
      <c r="C76" s="112"/>
      <c r="D76" s="112"/>
    </row>
    <row r="77" spans="1:7" x14ac:dyDescent="0.5">
      <c r="A77" s="1"/>
      <c r="B77" s="1"/>
      <c r="C77" s="112"/>
      <c r="D77" s="112"/>
    </row>
    <row r="78" spans="1:7" x14ac:dyDescent="0.5">
      <c r="A78" s="1"/>
      <c r="B78" s="1"/>
      <c r="C78" s="1"/>
      <c r="D78" s="1"/>
    </row>
    <row r="79" spans="1:7" x14ac:dyDescent="0.5">
      <c r="A79" s="1"/>
      <c r="B79" s="1"/>
      <c r="C79" s="1"/>
      <c r="D79" s="1"/>
    </row>
    <row r="80" spans="1:7" x14ac:dyDescent="0.5">
      <c r="A80" s="1"/>
      <c r="B80" s="1"/>
      <c r="C80" s="1"/>
      <c r="D80" s="1"/>
    </row>
    <row r="81" spans="1:4" x14ac:dyDescent="0.5">
      <c r="A81" s="1"/>
      <c r="B81" s="1"/>
      <c r="C81" s="1"/>
      <c r="D81" s="1"/>
    </row>
    <row r="82" spans="1:4" x14ac:dyDescent="0.5">
      <c r="A82" s="1"/>
      <c r="B82" s="1"/>
      <c r="C82" s="1"/>
      <c r="D82" s="1"/>
    </row>
    <row r="83" spans="1:4" x14ac:dyDescent="0.5">
      <c r="A83" s="1"/>
      <c r="B83" s="1"/>
      <c r="C83" s="1"/>
      <c r="D83" s="1"/>
    </row>
    <row r="84" spans="1:4" x14ac:dyDescent="0.5">
      <c r="A84" s="1"/>
      <c r="B84" s="1"/>
      <c r="C84" s="1"/>
      <c r="D84" s="1"/>
    </row>
    <row r="85" spans="1:4" x14ac:dyDescent="0.5">
      <c r="A85" s="1"/>
      <c r="B85" s="1"/>
      <c r="C85" s="1"/>
      <c r="D85" s="1"/>
    </row>
    <row r="86" spans="1:4" x14ac:dyDescent="0.5">
      <c r="A86" s="1"/>
      <c r="B86" s="1"/>
      <c r="C86" s="1"/>
      <c r="D86" s="1"/>
    </row>
    <row r="87" spans="1:4" x14ac:dyDescent="0.5">
      <c r="A87" s="1"/>
      <c r="B87" s="1"/>
      <c r="C87" s="1"/>
      <c r="D87" s="1"/>
    </row>
    <row r="88" spans="1:4" x14ac:dyDescent="0.5">
      <c r="A88" s="1"/>
      <c r="B88" s="1"/>
      <c r="C88" s="1"/>
      <c r="D88" s="1"/>
    </row>
    <row r="89" spans="1:4" x14ac:dyDescent="0.5">
      <c r="A89" s="1"/>
      <c r="B89" s="1"/>
      <c r="C89" s="1"/>
      <c r="D89" s="1"/>
    </row>
    <row r="90" spans="1:4" x14ac:dyDescent="0.5">
      <c r="A90" s="1"/>
      <c r="B90" s="1"/>
      <c r="C90" s="1"/>
      <c r="D90" s="1"/>
    </row>
    <row r="91" spans="1:4" x14ac:dyDescent="0.5">
      <c r="A91" s="1"/>
      <c r="B91" s="1"/>
      <c r="C91" s="1"/>
      <c r="D91" s="1"/>
    </row>
    <row r="92" spans="1:4" x14ac:dyDescent="0.5">
      <c r="A92" s="1"/>
      <c r="B92" s="1"/>
      <c r="C92" s="1"/>
      <c r="D92" s="1"/>
    </row>
    <row r="93" spans="1:4" x14ac:dyDescent="0.5">
      <c r="A93" s="1"/>
      <c r="B93" s="1"/>
      <c r="C93" s="1"/>
      <c r="D93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topLeftCell="A29" zoomScale="116" zoomScaleNormal="70" workbookViewId="0">
      <selection activeCell="E19" sqref="E19"/>
    </sheetView>
  </sheetViews>
  <sheetFormatPr defaultColWidth="9.703125" defaultRowHeight="13.7" x14ac:dyDescent="0.4"/>
  <cols>
    <col min="1" max="1" width="10.41015625" style="23" customWidth="1"/>
    <col min="2" max="2" width="31.29296875" style="23" customWidth="1"/>
    <col min="3" max="3" width="14.5859375" style="23" customWidth="1"/>
    <col min="4" max="5" width="13.29296875" style="26" customWidth="1"/>
    <col min="6" max="6" width="5.5859375" style="23" customWidth="1"/>
    <col min="7" max="7" width="9.703125" style="23"/>
    <col min="8" max="8" width="11.5859375" style="23" bestFit="1" customWidth="1"/>
    <col min="9" max="9" width="10.1171875" style="23" bestFit="1" customWidth="1"/>
    <col min="10" max="16384" width="9.703125" style="23"/>
  </cols>
  <sheetData>
    <row r="1" spans="1:7" ht="27.75" customHeight="1" x14ac:dyDescent="0.4">
      <c r="A1" s="141" t="s">
        <v>68</v>
      </c>
      <c r="B1" s="131"/>
      <c r="C1" s="131"/>
      <c r="D1" s="131"/>
      <c r="E1" s="131"/>
      <c r="F1" s="131"/>
      <c r="G1" s="132"/>
    </row>
    <row r="2" spans="1:7" ht="14.25" customHeight="1" x14ac:dyDescent="0.4">
      <c r="A2" s="133" t="s">
        <v>2</v>
      </c>
      <c r="B2" s="118"/>
      <c r="C2" s="118" t="s">
        <v>60</v>
      </c>
      <c r="D2" s="118" t="s">
        <v>61</v>
      </c>
      <c r="E2" s="118" t="s">
        <v>62</v>
      </c>
      <c r="F2" s="118" t="s">
        <v>4</v>
      </c>
      <c r="G2" s="134"/>
    </row>
    <row r="3" spans="1:7" ht="14.25" customHeight="1" x14ac:dyDescent="0.4">
      <c r="A3" s="142"/>
      <c r="B3" s="119"/>
      <c r="C3" s="119" t="s">
        <v>59</v>
      </c>
      <c r="D3" s="119"/>
      <c r="E3" s="119"/>
      <c r="F3" s="119"/>
      <c r="G3" s="143"/>
    </row>
    <row r="4" spans="1:7" ht="14.25" customHeight="1" x14ac:dyDescent="0.4">
      <c r="A4" s="133"/>
      <c r="B4" s="118"/>
      <c r="C4" s="118"/>
      <c r="D4" s="118"/>
      <c r="E4" s="118"/>
      <c r="F4" s="118"/>
      <c r="G4" s="134"/>
    </row>
    <row r="5" spans="1:7" ht="14.25" customHeight="1" x14ac:dyDescent="0.4">
      <c r="A5" s="133" t="s">
        <v>13</v>
      </c>
      <c r="B5" s="118"/>
      <c r="C5" s="118"/>
      <c r="D5" s="118"/>
      <c r="E5" s="118"/>
      <c r="F5" s="118"/>
      <c r="G5" s="134"/>
    </row>
    <row r="6" spans="1:7" ht="14.25" customHeight="1" x14ac:dyDescent="0.4">
      <c r="A6" s="133" t="str">
        <f>"3018"</f>
        <v>3018</v>
      </c>
      <c r="B6" s="118" t="str">
        <f>"Varvsavgift"</f>
        <v>Varvsavgift</v>
      </c>
      <c r="C6" s="118">
        <v>380000</v>
      </c>
      <c r="D6" s="118">
        <v>466383</v>
      </c>
      <c r="E6" s="118">
        <v>470000</v>
      </c>
      <c r="F6" s="118"/>
      <c r="G6" s="134"/>
    </row>
    <row r="7" spans="1:7" ht="14.25" customHeight="1" x14ac:dyDescent="0.4">
      <c r="A7" s="133" t="str">
        <f>"3019"</f>
        <v>3019</v>
      </c>
      <c r="B7" s="118" t="s">
        <v>10</v>
      </c>
      <c r="C7" s="118">
        <v>95000</v>
      </c>
      <c r="D7" s="118" t="s">
        <v>67</v>
      </c>
      <c r="E7" s="118"/>
      <c r="F7" s="118"/>
      <c r="G7" s="134"/>
    </row>
    <row r="8" spans="1:7" ht="14.25" customHeight="1" x14ac:dyDescent="0.4">
      <c r="A8" s="133" t="str">
        <f>"3025"</f>
        <v>3025</v>
      </c>
      <c r="B8" s="120" t="str">
        <f>"Klubbarbete"</f>
        <v>Klubbarbete</v>
      </c>
      <c r="C8" s="120">
        <v>0</v>
      </c>
      <c r="D8" s="120"/>
      <c r="E8" s="120">
        <v>1000</v>
      </c>
      <c r="F8" s="24"/>
      <c r="G8" s="134"/>
    </row>
    <row r="9" spans="1:7" ht="14.25" customHeight="1" x14ac:dyDescent="0.4">
      <c r="A9" s="142" t="s">
        <v>26</v>
      </c>
      <c r="B9" s="118"/>
      <c r="C9" s="118">
        <f>SUM(C6:C8)</f>
        <v>475000</v>
      </c>
      <c r="D9" s="118">
        <f>SUM(D6:D8)</f>
        <v>466383</v>
      </c>
      <c r="E9" s="118">
        <f>SUM(E6:E8)</f>
        <v>471000</v>
      </c>
      <c r="F9" s="118"/>
      <c r="G9" s="134"/>
    </row>
    <row r="10" spans="1:7" ht="14.25" customHeight="1" x14ac:dyDescent="0.4">
      <c r="A10" s="133"/>
      <c r="B10" s="118"/>
      <c r="C10" s="118"/>
      <c r="D10" s="118"/>
      <c r="E10" s="118"/>
      <c r="F10" s="118"/>
      <c r="G10" s="134"/>
    </row>
    <row r="11" spans="1:7" ht="14.25" customHeight="1" x14ac:dyDescent="0.4">
      <c r="A11" s="144" t="s">
        <v>11</v>
      </c>
      <c r="B11" s="118"/>
      <c r="C11" s="118" t="s">
        <v>60</v>
      </c>
      <c r="D11" s="118" t="s">
        <v>61</v>
      </c>
      <c r="E11" s="118" t="s">
        <v>62</v>
      </c>
      <c r="F11" s="118" t="s">
        <v>4</v>
      </c>
      <c r="G11" s="134"/>
    </row>
    <row r="12" spans="1:7" ht="14.25" customHeight="1" x14ac:dyDescent="0.4">
      <c r="A12" s="144" t="str">
        <f>"6011"</f>
        <v>6011</v>
      </c>
      <c r="B12" s="118" t="str">
        <f>"Tomträttsavgäld /arrende"</f>
        <v>Tomträttsavgäld /arrende</v>
      </c>
      <c r="C12" s="118">
        <v>-193000</v>
      </c>
      <c r="D12" s="118">
        <v>-192846</v>
      </c>
      <c r="E12" s="118">
        <v>-193000</v>
      </c>
      <c r="F12" s="118">
        <v>1</v>
      </c>
      <c r="G12" s="134"/>
    </row>
    <row r="13" spans="1:7" ht="14.25" customHeight="1" x14ac:dyDescent="0.4">
      <c r="A13" s="144" t="str">
        <f>"6040"</f>
        <v>6040</v>
      </c>
      <c r="B13" s="118" t="str">
        <f>"Drivmedel"</f>
        <v>Drivmedel</v>
      </c>
      <c r="C13" s="118">
        <v>-14000</v>
      </c>
      <c r="D13" s="118">
        <v>10999.78</v>
      </c>
      <c r="E13" s="118">
        <v>-14000</v>
      </c>
      <c r="F13" s="118"/>
      <c r="G13" s="134"/>
    </row>
    <row r="14" spans="1:7" ht="14.25" customHeight="1" x14ac:dyDescent="0.4">
      <c r="A14" s="144" t="str">
        <f>"6070"</f>
        <v>6070</v>
      </c>
      <c r="B14" s="118" t="str">
        <f>"Städning och renhållning"</f>
        <v>Städning och renhållning</v>
      </c>
      <c r="C14" s="118">
        <v>-3000</v>
      </c>
      <c r="D14" s="118">
        <v>-1426</v>
      </c>
      <c r="E14" s="118">
        <v>-3000</v>
      </c>
      <c r="F14" s="118"/>
      <c r="G14" s="134"/>
    </row>
    <row r="15" spans="1:7" ht="14.25" customHeight="1" x14ac:dyDescent="0.5">
      <c r="A15" s="144" t="str">
        <f>"6080"</f>
        <v>6080</v>
      </c>
      <c r="B15" s="118" t="str">
        <f>"Reparation och underhåll"</f>
        <v>Reparation och underhåll</v>
      </c>
      <c r="C15" s="118">
        <v>-170000</v>
      </c>
      <c r="D15" s="26">
        <v>-58411</v>
      </c>
      <c r="E15" s="183">
        <v>-200000</v>
      </c>
      <c r="F15" s="118">
        <v>2</v>
      </c>
      <c r="G15" s="134"/>
    </row>
    <row r="16" spans="1:7" ht="14.25" customHeight="1" x14ac:dyDescent="0.4">
      <c r="A16" s="144" t="str">
        <f>"6200"</f>
        <v>6200</v>
      </c>
      <c r="B16" s="118" t="s">
        <v>27</v>
      </c>
      <c r="C16" s="118">
        <v>-20000</v>
      </c>
      <c r="D16" s="145">
        <v>-27372</v>
      </c>
      <c r="E16" s="118">
        <v>-25000</v>
      </c>
      <c r="F16" s="118"/>
      <c r="G16" s="134"/>
    </row>
    <row r="17" spans="1:7" ht="14.25" customHeight="1" x14ac:dyDescent="0.4">
      <c r="A17" s="144" t="str">
        <f>"6202"</f>
        <v>6202</v>
      </c>
      <c r="B17" s="118" t="s">
        <v>28</v>
      </c>
      <c r="C17" s="118">
        <v>-10000</v>
      </c>
      <c r="D17" s="118">
        <v>-8317</v>
      </c>
      <c r="E17" s="118">
        <v>-10000</v>
      </c>
      <c r="F17" s="118"/>
      <c r="G17" s="134"/>
    </row>
    <row r="18" spans="1:7" ht="14.25" customHeight="1" x14ac:dyDescent="0.4">
      <c r="A18" s="144" t="str">
        <f>"6410"</f>
        <v>6410</v>
      </c>
      <c r="B18" s="118" t="str">
        <f>"Förbrukningsinventarier/mtrl"</f>
        <v>Förbrukningsinventarier/mtrl</v>
      </c>
      <c r="C18" s="146">
        <v>-6000</v>
      </c>
      <c r="D18" s="146">
        <v>-15594</v>
      </c>
      <c r="E18" s="146">
        <v>-8000</v>
      </c>
      <c r="F18" s="118">
        <v>3</v>
      </c>
      <c r="G18" s="134"/>
    </row>
    <row r="19" spans="1:7" ht="14.25" customHeight="1" x14ac:dyDescent="0.4">
      <c r="A19" s="147">
        <v>7311</v>
      </c>
      <c r="B19" s="118" t="s">
        <v>43</v>
      </c>
      <c r="C19" s="118">
        <v>-3500</v>
      </c>
      <c r="D19" s="118">
        <v>-3330</v>
      </c>
      <c r="E19" s="118">
        <v>-3400</v>
      </c>
      <c r="F19" s="118"/>
      <c r="G19" s="134"/>
    </row>
    <row r="20" spans="1:7" ht="15.75" customHeight="1" x14ac:dyDescent="0.4">
      <c r="A20" s="147">
        <v>7690</v>
      </c>
      <c r="B20" s="118" t="s">
        <v>36</v>
      </c>
      <c r="C20" s="118">
        <v>-4000</v>
      </c>
      <c r="D20" s="118">
        <v>0</v>
      </c>
      <c r="E20" s="118">
        <v>-4000</v>
      </c>
      <c r="F20" s="118">
        <v>4</v>
      </c>
      <c r="G20" s="134"/>
    </row>
    <row r="21" spans="1:7" ht="14.25" customHeight="1" x14ac:dyDescent="0.4">
      <c r="A21" s="142" t="s">
        <v>16</v>
      </c>
      <c r="B21" s="25"/>
      <c r="C21" s="119">
        <f>SUM(C12:C20)</f>
        <v>-423500</v>
      </c>
      <c r="D21" s="119">
        <f>SUM(D12:D20)</f>
        <v>-296296.21999999997</v>
      </c>
      <c r="E21" s="119">
        <f>SUM(E12:E20)</f>
        <v>-460400</v>
      </c>
      <c r="F21" s="119"/>
      <c r="G21" s="134"/>
    </row>
    <row r="22" spans="1:7" s="26" customFormat="1" ht="14.25" customHeight="1" thickBot="1" x14ac:dyDescent="0.45">
      <c r="A22" s="133"/>
      <c r="B22" s="118"/>
      <c r="C22" s="118"/>
      <c r="D22" s="118"/>
      <c r="E22" s="118"/>
      <c r="F22" s="118"/>
      <c r="G22" s="134"/>
    </row>
    <row r="23" spans="1:7" ht="14.25" customHeight="1" thickBot="1" x14ac:dyDescent="0.45">
      <c r="A23" s="138" t="s">
        <v>70</v>
      </c>
      <c r="B23" s="139"/>
      <c r="C23" s="138" t="s">
        <v>114</v>
      </c>
      <c r="D23" s="140"/>
      <c r="E23" s="140"/>
      <c r="F23" s="139"/>
      <c r="G23" s="134"/>
    </row>
    <row r="24" spans="1:7" s="26" customFormat="1" ht="14.25" customHeight="1" x14ac:dyDescent="0.4">
      <c r="A24" s="133" t="s">
        <v>6</v>
      </c>
      <c r="B24" s="134"/>
      <c r="C24" s="133"/>
      <c r="D24" s="118"/>
      <c r="E24" s="118"/>
      <c r="F24" s="134"/>
      <c r="G24" s="134"/>
    </row>
    <row r="25" spans="1:7" s="26" customFormat="1" ht="14.25" customHeight="1" thickBot="1" x14ac:dyDescent="0.45">
      <c r="A25" s="135" t="s">
        <v>52</v>
      </c>
      <c r="B25" s="137"/>
      <c r="C25" s="135"/>
      <c r="D25" s="136"/>
      <c r="E25" s="136"/>
      <c r="F25" s="137"/>
      <c r="G25" s="134"/>
    </row>
    <row r="26" spans="1:7" s="26" customFormat="1" ht="14.25" customHeight="1" thickBot="1" x14ac:dyDescent="0.45">
      <c r="A26" s="133"/>
      <c r="B26" s="134"/>
      <c r="C26" s="133"/>
      <c r="D26" s="118"/>
      <c r="E26" s="118"/>
      <c r="F26" s="134"/>
      <c r="G26" s="134"/>
    </row>
    <row r="27" spans="1:7" s="26" customFormat="1" ht="14.25" customHeight="1" x14ac:dyDescent="0.4">
      <c r="A27" s="130" t="s">
        <v>7</v>
      </c>
      <c r="B27" s="132" t="s">
        <v>56</v>
      </c>
      <c r="C27" s="130" t="s">
        <v>63</v>
      </c>
      <c r="D27" s="131"/>
      <c r="E27" s="131"/>
      <c r="F27" s="132"/>
      <c r="G27" s="134"/>
    </row>
    <row r="28" spans="1:7" s="26" customFormat="1" ht="14.25" customHeight="1" x14ac:dyDescent="0.4">
      <c r="A28" s="133" t="s">
        <v>29</v>
      </c>
      <c r="B28" s="134"/>
      <c r="C28" s="133" t="s">
        <v>64</v>
      </c>
      <c r="D28" s="118"/>
      <c r="E28" s="118"/>
      <c r="F28" s="134"/>
      <c r="G28" s="134"/>
    </row>
    <row r="29" spans="1:7" s="26" customFormat="1" ht="14.25" customHeight="1" thickBot="1" x14ac:dyDescent="0.45">
      <c r="A29" s="135" t="s">
        <v>30</v>
      </c>
      <c r="B29" s="137"/>
      <c r="C29" s="135" t="s">
        <v>69</v>
      </c>
      <c r="D29" s="136"/>
      <c r="E29" s="136"/>
      <c r="F29" s="137"/>
      <c r="G29" s="134"/>
    </row>
    <row r="30" spans="1:7" s="26" customFormat="1" ht="14.25" customHeight="1" thickBot="1" x14ac:dyDescent="0.45">
      <c r="A30" s="133"/>
      <c r="B30" s="134"/>
      <c r="C30" s="133"/>
      <c r="D30" s="118"/>
      <c r="E30" s="118"/>
      <c r="F30" s="134"/>
      <c r="G30" s="134"/>
    </row>
    <row r="31" spans="1:7" s="26" customFormat="1" ht="14.25" customHeight="1" x14ac:dyDescent="0.4">
      <c r="A31" s="130" t="s">
        <v>8</v>
      </c>
      <c r="B31" s="132"/>
      <c r="C31" s="130" t="s">
        <v>65</v>
      </c>
      <c r="D31" s="131"/>
      <c r="E31" s="131"/>
      <c r="F31" s="132"/>
      <c r="G31" s="134"/>
    </row>
    <row r="32" spans="1:7" s="26" customFormat="1" ht="14.25" customHeight="1" thickBot="1" x14ac:dyDescent="0.45">
      <c r="A32" s="135"/>
      <c r="B32" s="137"/>
      <c r="C32" s="135"/>
      <c r="D32" s="136"/>
      <c r="E32" s="136"/>
      <c r="F32" s="137"/>
      <c r="G32" s="134"/>
    </row>
    <row r="33" spans="1:8" s="26" customFormat="1" ht="14.25" customHeight="1" x14ac:dyDescent="0.4">
      <c r="A33" s="133" t="s">
        <v>34</v>
      </c>
      <c r="B33" s="134"/>
      <c r="C33" s="133"/>
      <c r="D33" s="118"/>
      <c r="E33" s="118"/>
      <c r="F33" s="134"/>
      <c r="G33" s="134"/>
    </row>
    <row r="34" spans="1:8" s="26" customFormat="1" ht="14.25" customHeight="1" x14ac:dyDescent="0.4">
      <c r="A34" s="133" t="s">
        <v>45</v>
      </c>
      <c r="B34" s="134"/>
      <c r="C34" s="133" t="s">
        <v>66</v>
      </c>
      <c r="D34" s="118"/>
      <c r="E34" s="118"/>
      <c r="F34" s="134"/>
      <c r="G34" s="134"/>
    </row>
    <row r="35" spans="1:8" s="26" customFormat="1" ht="14.25" customHeight="1" thickBot="1" x14ac:dyDescent="0.45">
      <c r="A35" s="135"/>
      <c r="B35" s="137"/>
      <c r="C35" s="135"/>
      <c r="D35" s="136"/>
      <c r="E35" s="136"/>
      <c r="F35" s="137"/>
      <c r="G35" s="134"/>
    </row>
    <row r="36" spans="1:8" s="26" customFormat="1" ht="14.25" customHeight="1" x14ac:dyDescent="0.4">
      <c r="A36" s="130"/>
      <c r="B36" s="131"/>
      <c r="C36" s="131"/>
      <c r="D36" s="131"/>
      <c r="E36" s="131"/>
      <c r="F36" s="132"/>
      <c r="G36" s="134"/>
    </row>
    <row r="37" spans="1:8" s="26" customFormat="1" ht="14.25" customHeight="1" x14ac:dyDescent="0.45">
      <c r="A37" s="177" t="s">
        <v>117</v>
      </c>
      <c r="B37" s="181"/>
      <c r="C37" s="118"/>
      <c r="D37" s="118"/>
      <c r="E37" s="118"/>
      <c r="F37" s="134"/>
      <c r="G37" s="134"/>
    </row>
    <row r="38" spans="1:8" s="26" customFormat="1" ht="14.25" customHeight="1" x14ac:dyDescent="0.4">
      <c r="A38" s="178"/>
      <c r="B38" s="181"/>
      <c r="C38" s="118"/>
      <c r="D38" s="118"/>
      <c r="E38" s="118"/>
      <c r="F38" s="134"/>
      <c r="G38" s="118"/>
      <c r="H38" s="118"/>
    </row>
    <row r="39" spans="1:8" s="26" customFormat="1" ht="14.25" customHeight="1" x14ac:dyDescent="0.4">
      <c r="A39" s="178" t="s">
        <v>6</v>
      </c>
      <c r="B39" s="181" t="s">
        <v>118</v>
      </c>
      <c r="C39" s="118"/>
      <c r="D39" s="118"/>
      <c r="E39" s="118"/>
      <c r="F39" s="134"/>
      <c r="G39" s="118"/>
      <c r="H39" s="118"/>
    </row>
    <row r="40" spans="1:8" s="26" customFormat="1" ht="14.25" customHeight="1" x14ac:dyDescent="0.4">
      <c r="A40" s="178"/>
      <c r="B40" s="181"/>
      <c r="C40" s="118"/>
      <c r="D40" s="118"/>
      <c r="E40" s="118"/>
      <c r="F40" s="134"/>
      <c r="G40" s="118"/>
      <c r="H40" s="118"/>
    </row>
    <row r="41" spans="1:8" s="26" customFormat="1" ht="14.25" customHeight="1" x14ac:dyDescent="0.4">
      <c r="A41" s="178" t="s">
        <v>119</v>
      </c>
      <c r="B41" s="181"/>
      <c r="C41" s="118"/>
      <c r="D41" s="118"/>
      <c r="E41" s="118"/>
      <c r="F41" s="134"/>
    </row>
    <row r="42" spans="1:8" s="26" customFormat="1" ht="14.25" customHeight="1" x14ac:dyDescent="0.4">
      <c r="A42" s="178"/>
      <c r="B42" s="181" t="s">
        <v>120</v>
      </c>
      <c r="C42" s="118"/>
      <c r="D42" s="118"/>
      <c r="E42" s="118"/>
      <c r="F42" s="134"/>
    </row>
    <row r="43" spans="1:8" s="26" customFormat="1" ht="14.25" customHeight="1" x14ac:dyDescent="0.4">
      <c r="A43" s="178"/>
      <c r="B43" s="181" t="s">
        <v>121</v>
      </c>
      <c r="C43" s="118"/>
      <c r="D43" s="118"/>
      <c r="E43" s="118"/>
      <c r="F43" s="134"/>
    </row>
    <row r="44" spans="1:8" s="26" customFormat="1" ht="14.25" customHeight="1" x14ac:dyDescent="0.4">
      <c r="A44" s="178"/>
      <c r="B44" s="181" t="s">
        <v>122</v>
      </c>
      <c r="C44" s="118"/>
      <c r="D44" s="118"/>
      <c r="E44" s="118"/>
      <c r="F44" s="134"/>
    </row>
    <row r="45" spans="1:8" s="26" customFormat="1" ht="14.25" customHeight="1" x14ac:dyDescent="0.4">
      <c r="A45" s="178"/>
      <c r="B45" s="181"/>
      <c r="C45" s="118"/>
      <c r="D45" s="118"/>
      <c r="E45" s="118"/>
      <c r="F45" s="134"/>
    </row>
    <row r="46" spans="1:8" s="26" customFormat="1" ht="14.25" customHeight="1" x14ac:dyDescent="0.4">
      <c r="A46" s="178" t="s">
        <v>8</v>
      </c>
      <c r="B46" s="182" t="s">
        <v>123</v>
      </c>
      <c r="C46" s="118"/>
      <c r="D46" s="118"/>
      <c r="E46" s="118"/>
      <c r="F46" s="134"/>
    </row>
    <row r="47" spans="1:8" s="26" customFormat="1" ht="14.25" customHeight="1" x14ac:dyDescent="0.4">
      <c r="A47" s="178"/>
      <c r="B47" s="181"/>
      <c r="C47" s="118"/>
      <c r="D47" s="118"/>
      <c r="E47" s="118"/>
      <c r="F47" s="134"/>
    </row>
    <row r="48" spans="1:8" s="26" customFormat="1" ht="14.25" customHeight="1" x14ac:dyDescent="0.4">
      <c r="A48" s="178" t="s">
        <v>34</v>
      </c>
      <c r="B48" s="181" t="s">
        <v>124</v>
      </c>
      <c r="C48" s="118"/>
      <c r="D48" s="118"/>
      <c r="E48" s="118"/>
      <c r="F48" s="134"/>
    </row>
    <row r="49" spans="1:6" s="26" customFormat="1" ht="14.25" customHeight="1" thickBot="1" x14ac:dyDescent="0.45">
      <c r="A49" s="179"/>
      <c r="B49" s="180"/>
      <c r="C49" s="136"/>
      <c r="D49" s="136"/>
      <c r="E49" s="136"/>
      <c r="F49" s="137"/>
    </row>
    <row r="50" spans="1:6" s="26" customFormat="1" ht="14.25" customHeight="1" x14ac:dyDescent="0.4"/>
    <row r="51" spans="1:6" s="26" customFormat="1" ht="14.25" customHeight="1" x14ac:dyDescent="0.4"/>
    <row r="52" spans="1:6" s="26" customFormat="1" ht="14.25" customHeight="1" x14ac:dyDescent="0.4"/>
    <row r="53" spans="1:6" s="26" customFormat="1" ht="14.25" customHeight="1" x14ac:dyDescent="0.4"/>
    <row r="54" spans="1:6" s="26" customFormat="1" ht="14.25" customHeight="1" x14ac:dyDescent="0.4"/>
    <row r="55" spans="1:6" s="26" customFormat="1" ht="14.25" customHeight="1" x14ac:dyDescent="0.4"/>
    <row r="56" spans="1:6" s="26" customFormat="1" ht="14.25" customHeight="1" x14ac:dyDescent="0.4"/>
    <row r="57" spans="1:6" s="26" customFormat="1" ht="14.25" customHeight="1" x14ac:dyDescent="0.4"/>
    <row r="58" spans="1:6" s="26" customFormat="1" ht="14.25" customHeight="1" x14ac:dyDescent="0.4"/>
    <row r="59" spans="1:6" s="26" customFormat="1" ht="14.25" customHeight="1" x14ac:dyDescent="0.4"/>
    <row r="60" spans="1:6" s="26" customFormat="1" ht="14.25" customHeight="1" x14ac:dyDescent="0.4"/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topLeftCell="A17" zoomScale="95" zoomScaleNormal="95" workbookViewId="0">
      <selection activeCell="I42" sqref="I42"/>
    </sheetView>
  </sheetViews>
  <sheetFormatPr defaultColWidth="9.1171875" defaultRowHeight="14.35" x14ac:dyDescent="0.5"/>
  <cols>
    <col min="1" max="1" width="6.29296875" style="27" customWidth="1"/>
    <col min="2" max="2" width="27.1171875" style="27" customWidth="1"/>
    <col min="3" max="3" width="11.29296875" style="27" customWidth="1"/>
    <col min="4" max="4" width="13" style="27" bestFit="1" customWidth="1"/>
    <col min="5" max="5" width="11" style="27" customWidth="1"/>
    <col min="6" max="6" width="5.5859375" style="27" customWidth="1"/>
    <col min="7" max="8" width="9.1171875" style="27"/>
    <col min="9" max="9" width="27.17578125" style="27" customWidth="1"/>
    <col min="10" max="16384" width="9.1171875" style="27"/>
  </cols>
  <sheetData>
    <row r="1" spans="1:14" x14ac:dyDescent="0.5">
      <c r="A1" s="6" t="s">
        <v>91</v>
      </c>
      <c r="H1" s="55"/>
      <c r="I1" s="10"/>
      <c r="J1" s="10"/>
      <c r="K1" s="10"/>
      <c r="L1" s="10"/>
      <c r="M1" s="10"/>
      <c r="N1" s="55"/>
    </row>
    <row r="2" spans="1:14" x14ac:dyDescent="0.5">
      <c r="A2" s="27" t="s">
        <v>33</v>
      </c>
      <c r="C2" s="166" t="s">
        <v>60</v>
      </c>
      <c r="D2" s="166" t="s">
        <v>61</v>
      </c>
      <c r="E2" s="166" t="s">
        <v>62</v>
      </c>
      <c r="F2" s="166" t="s">
        <v>4</v>
      </c>
      <c r="H2" s="10"/>
      <c r="I2" s="10"/>
      <c r="J2" s="55"/>
      <c r="K2" s="55"/>
      <c r="L2" s="55"/>
      <c r="M2" s="55"/>
      <c r="N2" s="55"/>
    </row>
    <row r="3" spans="1:14" ht="14.7" thickBot="1" x14ac:dyDescent="0.55000000000000004">
      <c r="H3" s="10"/>
      <c r="I3" s="10"/>
      <c r="J3" s="10"/>
      <c r="K3" s="10"/>
      <c r="L3" s="10"/>
      <c r="M3" s="10"/>
      <c r="N3" s="55"/>
    </row>
    <row r="4" spans="1:14" x14ac:dyDescent="0.5">
      <c r="A4" s="6" t="s">
        <v>13</v>
      </c>
      <c r="H4" s="10"/>
      <c r="I4" s="10"/>
      <c r="J4" s="10"/>
      <c r="K4" s="10"/>
      <c r="L4" s="10"/>
      <c r="M4" s="10"/>
      <c r="N4" s="55"/>
    </row>
    <row r="5" spans="1:14" x14ac:dyDescent="0.5">
      <c r="A5" s="27" t="str">
        <f>"3014"</f>
        <v>3014</v>
      </c>
      <c r="B5" s="27" t="str">
        <f>"Medlemsavgifter"</f>
        <v>Medlemsavgifter</v>
      </c>
      <c r="C5" s="109">
        <v>145000</v>
      </c>
      <c r="D5" s="27">
        <v>158650</v>
      </c>
      <c r="E5" s="27">
        <v>145000</v>
      </c>
      <c r="H5" s="10"/>
      <c r="I5" s="10"/>
      <c r="J5" s="10"/>
      <c r="K5" s="10"/>
      <c r="L5" s="10"/>
      <c r="M5" s="10"/>
      <c r="N5" s="55"/>
    </row>
    <row r="6" spans="1:14" x14ac:dyDescent="0.5">
      <c r="A6" s="27" t="str">
        <f>"3015"</f>
        <v>3015</v>
      </c>
      <c r="B6" s="27" t="str">
        <f>"Inträdesavgift/nyttjandeavgift"</f>
        <v>Inträdesavgift/nyttjandeavgift</v>
      </c>
      <c r="C6" s="109">
        <v>40000</v>
      </c>
      <c r="D6" s="27">
        <v>24225</v>
      </c>
      <c r="E6" s="27">
        <v>25000</v>
      </c>
      <c r="H6" s="10"/>
      <c r="I6" s="10"/>
      <c r="J6" s="10"/>
      <c r="K6" s="10"/>
      <c r="L6" s="10"/>
      <c r="M6" s="10"/>
      <c r="N6" s="55"/>
    </row>
    <row r="7" spans="1:14" x14ac:dyDescent="0.5">
      <c r="A7" s="27" t="str">
        <f>"3016"</f>
        <v>3016</v>
      </c>
      <c r="B7" s="27" t="str">
        <f>"Grundavgift"</f>
        <v>Grundavgift</v>
      </c>
      <c r="C7" s="109">
        <v>130000</v>
      </c>
      <c r="D7" s="27">
        <v>142000</v>
      </c>
      <c r="E7" s="27">
        <v>135000</v>
      </c>
      <c r="H7" s="10"/>
      <c r="I7" s="10"/>
      <c r="J7" s="10"/>
      <c r="K7" s="10"/>
      <c r="L7" s="10"/>
      <c r="M7" s="10"/>
      <c r="N7" s="55"/>
    </row>
    <row r="8" spans="1:14" x14ac:dyDescent="0.5">
      <c r="A8" s="27" t="str">
        <f>"3025"</f>
        <v>3025</v>
      </c>
      <c r="B8" s="27" t="str">
        <f>"Klubbarbete"</f>
        <v>Klubbarbete</v>
      </c>
      <c r="C8" s="109">
        <v>0</v>
      </c>
      <c r="D8" s="27">
        <v>-2500</v>
      </c>
      <c r="E8" s="27">
        <v>0</v>
      </c>
      <c r="F8" s="27">
        <v>1</v>
      </c>
      <c r="H8" s="55"/>
      <c r="I8" s="10"/>
      <c r="J8" s="10"/>
      <c r="K8" s="10"/>
      <c r="L8" s="10"/>
      <c r="M8" s="10"/>
      <c r="N8" s="55"/>
    </row>
    <row r="9" spans="1:14" x14ac:dyDescent="0.5">
      <c r="A9" s="27" t="str">
        <f>"3026"</f>
        <v>3026</v>
      </c>
      <c r="B9" s="27" t="str">
        <f>"Förseningsavgifter"</f>
        <v>Förseningsavgifter</v>
      </c>
      <c r="C9" s="109">
        <v>-100</v>
      </c>
      <c r="D9" s="27">
        <v>-100</v>
      </c>
      <c r="E9" s="27">
        <v>0</v>
      </c>
      <c r="H9" s="10"/>
      <c r="I9" s="10"/>
      <c r="J9" s="10"/>
      <c r="K9" s="10"/>
      <c r="L9" s="10"/>
      <c r="M9" s="10"/>
      <c r="N9" s="55"/>
    </row>
    <row r="10" spans="1:14" x14ac:dyDescent="0.5">
      <c r="A10" s="27" t="str">
        <f>"3050"</f>
        <v>3050</v>
      </c>
      <c r="B10" s="27" t="str">
        <f>"Försäljning övrigt"</f>
        <v>Försäljning övrigt</v>
      </c>
      <c r="C10" s="109">
        <v>1000</v>
      </c>
      <c r="D10" s="27">
        <v>1200</v>
      </c>
      <c r="E10" s="27">
        <v>1000</v>
      </c>
      <c r="H10" s="9"/>
      <c r="I10" s="10"/>
      <c r="J10" s="10"/>
      <c r="K10" s="10"/>
      <c r="L10" s="10"/>
      <c r="M10" s="10"/>
      <c r="N10" s="55"/>
    </row>
    <row r="11" spans="1:14" x14ac:dyDescent="0.5">
      <c r="A11" s="21" t="s">
        <v>0</v>
      </c>
      <c r="B11" s="54"/>
      <c r="C11" s="54">
        <f>SUM(C5:C10)</f>
        <v>315900</v>
      </c>
      <c r="D11" s="54">
        <f>SUM(D5:D10)</f>
        <v>323475</v>
      </c>
      <c r="E11" s="54">
        <f>SUM(E5:E10)</f>
        <v>306000</v>
      </c>
      <c r="F11" s="54"/>
      <c r="H11" s="10"/>
      <c r="I11" s="10"/>
      <c r="J11" s="10"/>
      <c r="K11" s="10"/>
      <c r="L11" s="10"/>
      <c r="M11" s="10"/>
      <c r="N11" s="55"/>
    </row>
    <row r="12" spans="1:14" x14ac:dyDescent="0.5">
      <c r="H12" s="10"/>
      <c r="I12" s="10"/>
      <c r="J12" s="10"/>
      <c r="K12" s="10"/>
      <c r="L12" s="10"/>
      <c r="M12" s="10"/>
      <c r="N12" s="55"/>
    </row>
    <row r="13" spans="1:14" x14ac:dyDescent="0.5">
      <c r="C13" s="166" t="s">
        <v>60</v>
      </c>
      <c r="D13" s="166" t="s">
        <v>61</v>
      </c>
      <c r="E13" s="166" t="s">
        <v>62</v>
      </c>
      <c r="F13" s="166" t="s">
        <v>4</v>
      </c>
      <c r="H13" s="10"/>
      <c r="I13" s="10"/>
      <c r="J13" s="10"/>
      <c r="K13" s="10"/>
      <c r="L13" s="10"/>
      <c r="M13" s="10"/>
      <c r="N13" s="55"/>
    </row>
    <row r="14" spans="1:14" x14ac:dyDescent="0.5">
      <c r="A14" s="27" t="str">
        <f>"6410"</f>
        <v>6410</v>
      </c>
      <c r="B14" s="27" t="str">
        <f>"Förbrukningsinventarier/mtrl"</f>
        <v>Förbrukningsinventarier/mtrl</v>
      </c>
      <c r="C14" s="109">
        <v>-31000</v>
      </c>
      <c r="D14" s="27">
        <v>-9599.9</v>
      </c>
      <c r="E14" s="27">
        <v>-10000</v>
      </c>
      <c r="F14" s="27">
        <v>2</v>
      </c>
      <c r="H14" s="10"/>
      <c r="I14" s="10"/>
      <c r="J14" s="10"/>
      <c r="K14" s="10"/>
      <c r="L14" s="10"/>
      <c r="M14" s="10"/>
      <c r="N14" s="55"/>
    </row>
    <row r="15" spans="1:14" x14ac:dyDescent="0.5">
      <c r="A15" s="27" t="str">
        <f>"6510"</f>
        <v>6510</v>
      </c>
      <c r="B15" s="27" t="str">
        <f>"Administrationskostnader"</f>
        <v>Administrationskostnader</v>
      </c>
      <c r="C15" s="109">
        <v>-5000</v>
      </c>
      <c r="D15" s="27">
        <v>-1595</v>
      </c>
      <c r="E15" s="27">
        <v>-5000</v>
      </c>
      <c r="H15" s="10"/>
      <c r="I15" s="10"/>
      <c r="J15" s="10"/>
      <c r="K15" s="10"/>
      <c r="L15" s="10"/>
      <c r="M15" s="10"/>
      <c r="N15" s="55"/>
    </row>
    <row r="16" spans="1:14" x14ac:dyDescent="0.5">
      <c r="A16" s="27" t="str">
        <f>"6850"</f>
        <v>6850</v>
      </c>
      <c r="B16" s="27" t="str">
        <f>"Porto"</f>
        <v>Porto</v>
      </c>
      <c r="C16" s="109">
        <v>-3000</v>
      </c>
      <c r="D16" s="27">
        <v>-2970</v>
      </c>
      <c r="E16" s="27">
        <v>-3000</v>
      </c>
      <c r="H16" s="9"/>
      <c r="I16" s="10"/>
      <c r="J16" s="10"/>
      <c r="K16" s="10"/>
      <c r="L16" s="10"/>
      <c r="M16" s="10"/>
      <c r="N16" s="55"/>
    </row>
    <row r="17" spans="1:14" x14ac:dyDescent="0.5">
      <c r="A17" s="27" t="str">
        <f>"7171"</f>
        <v>7171</v>
      </c>
      <c r="B17" s="27" t="str">
        <f>"Styrelsen"</f>
        <v>Styrelsen</v>
      </c>
      <c r="C17" s="109">
        <v>-300000</v>
      </c>
      <c r="D17" s="27">
        <v>-16206</v>
      </c>
      <c r="E17" s="27">
        <v>-100000</v>
      </c>
      <c r="F17" s="27">
        <v>3</v>
      </c>
      <c r="H17" s="10"/>
      <c r="I17" s="10"/>
      <c r="J17" s="10"/>
      <c r="K17" s="10"/>
      <c r="L17" s="10"/>
      <c r="M17" s="10"/>
      <c r="N17" s="55"/>
    </row>
    <row r="18" spans="1:14" x14ac:dyDescent="0.5">
      <c r="A18" s="27" t="str">
        <f>"7200"</f>
        <v>7200</v>
      </c>
      <c r="B18" s="27" t="str">
        <f>"Utbildning"</f>
        <v>Utbildning</v>
      </c>
      <c r="C18" s="109">
        <v>-5000</v>
      </c>
      <c r="E18" s="27">
        <v>-5000</v>
      </c>
      <c r="H18" s="55"/>
      <c r="I18" s="10"/>
      <c r="J18" s="10"/>
      <c r="K18" s="10"/>
      <c r="L18" s="10"/>
      <c r="M18" s="10"/>
      <c r="N18" s="55"/>
    </row>
    <row r="19" spans="1:14" x14ac:dyDescent="0.5">
      <c r="A19" s="27" t="str">
        <f>"7430"</f>
        <v>7430</v>
      </c>
      <c r="B19" s="27" t="str">
        <f>"Styrelsearvode"</f>
        <v>Styrelsearvode</v>
      </c>
      <c r="C19" s="109">
        <v>-52000</v>
      </c>
      <c r="D19" s="27">
        <v>-52000.4</v>
      </c>
      <c r="E19" s="27">
        <v>-52000</v>
      </c>
      <c r="H19" s="55"/>
      <c r="I19" s="55"/>
      <c r="J19" s="55"/>
      <c r="K19" s="55"/>
      <c r="L19" s="55"/>
      <c r="M19" s="55"/>
      <c r="N19" s="55"/>
    </row>
    <row r="20" spans="1:14" x14ac:dyDescent="0.5">
      <c r="A20" s="27" t="str">
        <f>"7431"</f>
        <v>7431</v>
      </c>
      <c r="B20" s="27" t="str">
        <f>"Sociala avgifter"</f>
        <v>Sociala avgifter</v>
      </c>
      <c r="C20" s="109">
        <v>-12000</v>
      </c>
      <c r="D20" s="27">
        <v>-12945</v>
      </c>
      <c r="E20" s="27">
        <v>-15000</v>
      </c>
      <c r="H20" s="55"/>
      <c r="I20" s="55"/>
      <c r="J20" s="55"/>
      <c r="K20" s="55"/>
      <c r="L20" s="55"/>
      <c r="M20" s="55"/>
      <c r="N20" s="55"/>
    </row>
    <row r="21" spans="1:14" x14ac:dyDescent="0.5">
      <c r="A21" s="27" t="str">
        <f>"7681"</f>
        <v>7681</v>
      </c>
      <c r="B21" s="27" t="str">
        <f>"Avgifter för båtförbund"</f>
        <v>Avgifter för båtförbund</v>
      </c>
      <c r="C21" s="109">
        <v>-59000</v>
      </c>
      <c r="D21" s="27">
        <v>-53217</v>
      </c>
      <c r="E21" s="27">
        <v>-55000</v>
      </c>
      <c r="H21" s="55"/>
      <c r="I21" s="55"/>
      <c r="J21" s="55"/>
      <c r="K21" s="55"/>
      <c r="L21" s="55"/>
      <c r="M21" s="55"/>
      <c r="N21" s="55"/>
    </row>
    <row r="22" spans="1:14" x14ac:dyDescent="0.5">
      <c r="A22" s="60">
        <v>7690</v>
      </c>
      <c r="B22" s="27" t="s">
        <v>36</v>
      </c>
      <c r="C22" s="109">
        <v>-10000</v>
      </c>
      <c r="D22" s="27">
        <v>-21884</v>
      </c>
      <c r="E22" s="27">
        <v>-14000</v>
      </c>
      <c r="F22" s="27">
        <v>4</v>
      </c>
    </row>
    <row r="23" spans="1:14" x14ac:dyDescent="0.5">
      <c r="A23" s="53"/>
      <c r="B23" s="53"/>
      <c r="C23" s="53"/>
      <c r="D23" s="53"/>
      <c r="E23" s="53"/>
      <c r="F23" s="53"/>
    </row>
    <row r="24" spans="1:14" x14ac:dyDescent="0.5">
      <c r="A24" s="27" t="str">
        <f>"S:a Övriga externa kostnader"</f>
        <v>S:a Övriga externa kostnader</v>
      </c>
      <c r="C24" s="109">
        <f>SUM(C14:C23)</f>
        <v>-477000</v>
      </c>
      <c r="D24" s="27">
        <f>SUM(D14:D23)</f>
        <v>-170417.3</v>
      </c>
      <c r="E24" s="27">
        <f>SUM(E14:E23)</f>
        <v>-259000</v>
      </c>
      <c r="F24" s="27">
        <v>0</v>
      </c>
    </row>
    <row r="25" spans="1:14" x14ac:dyDescent="0.5">
      <c r="C25" s="109"/>
    </row>
    <row r="26" spans="1:14" x14ac:dyDescent="0.5">
      <c r="A26" s="27" t="str">
        <f>"8170"</f>
        <v>8170</v>
      </c>
      <c r="B26" s="27" t="str">
        <f>"Bankkostnader"</f>
        <v>Bankkostnader</v>
      </c>
      <c r="C26" s="109">
        <v>-5000</v>
      </c>
      <c r="D26" s="27">
        <v>-4521</v>
      </c>
      <c r="E26" s="27">
        <v>-5000</v>
      </c>
      <c r="F26" s="27">
        <v>0</v>
      </c>
    </row>
    <row r="27" spans="1:14" x14ac:dyDescent="0.5">
      <c r="C27" s="109"/>
    </row>
    <row r="28" spans="1:14" x14ac:dyDescent="0.5">
      <c r="A28" s="53"/>
      <c r="B28" s="53"/>
      <c r="C28" s="53"/>
      <c r="D28" s="53"/>
      <c r="E28" s="53"/>
      <c r="F28" s="53"/>
    </row>
    <row r="29" spans="1:14" ht="14.7" thickBot="1" x14ac:dyDescent="0.55000000000000004">
      <c r="C29" s="109">
        <f>SUM(C11+C24+C26)</f>
        <v>-166100</v>
      </c>
      <c r="D29" s="27">
        <f>SUM(D11+D24+D26)</f>
        <v>148536.70000000001</v>
      </c>
      <c r="E29" s="27">
        <f>SUM(E11+E24+E26)</f>
        <v>42000</v>
      </c>
      <c r="F29" s="27">
        <v>0.26522811187703027</v>
      </c>
    </row>
    <row r="30" spans="1:14" ht="14.7" thickBot="1" x14ac:dyDescent="0.55000000000000004">
      <c r="A30" s="138" t="s">
        <v>70</v>
      </c>
      <c r="B30" s="140"/>
      <c r="C30" s="138" t="s">
        <v>114</v>
      </c>
      <c r="D30" s="140"/>
      <c r="E30" s="140"/>
      <c r="F30" s="139"/>
      <c r="H30" s="138" t="s">
        <v>117</v>
      </c>
      <c r="I30" s="140"/>
      <c r="J30" s="130" t="s">
        <v>129</v>
      </c>
      <c r="K30" s="131"/>
      <c r="L30" s="131"/>
      <c r="M30" s="132"/>
    </row>
    <row r="31" spans="1:14" ht="14.7" thickBot="1" x14ac:dyDescent="0.55000000000000004">
      <c r="A31" s="172" t="s">
        <v>6</v>
      </c>
      <c r="B31" s="173" t="s">
        <v>97</v>
      </c>
      <c r="C31" s="172" t="s">
        <v>99</v>
      </c>
      <c r="D31" s="173"/>
      <c r="E31" s="173"/>
      <c r="F31" s="174"/>
      <c r="H31" s="172" t="s">
        <v>6</v>
      </c>
      <c r="I31" s="173" t="s">
        <v>125</v>
      </c>
      <c r="J31" s="172"/>
      <c r="K31" s="173"/>
      <c r="L31" s="173"/>
      <c r="M31" s="174"/>
    </row>
    <row r="32" spans="1:14" x14ac:dyDescent="0.5">
      <c r="A32" s="167"/>
      <c r="B32" s="121" t="s">
        <v>98</v>
      </c>
      <c r="C32" s="172" t="s">
        <v>99</v>
      </c>
      <c r="D32" s="121"/>
      <c r="E32" s="121"/>
      <c r="F32" s="168"/>
      <c r="H32" s="167"/>
      <c r="I32" s="109" t="s">
        <v>126</v>
      </c>
      <c r="J32" s="167"/>
      <c r="K32" s="109"/>
      <c r="L32" s="109"/>
      <c r="M32" s="168"/>
    </row>
    <row r="33" spans="1:13" ht="14.7" thickBot="1" x14ac:dyDescent="0.55000000000000004">
      <c r="A33" s="169"/>
      <c r="B33" s="170"/>
      <c r="C33" s="169"/>
      <c r="D33" s="170"/>
      <c r="E33" s="170"/>
      <c r="F33" s="171"/>
      <c r="H33" s="169"/>
      <c r="I33" s="170"/>
      <c r="J33" s="169"/>
      <c r="K33" s="170"/>
      <c r="L33" s="170"/>
      <c r="M33" s="171"/>
    </row>
    <row r="34" spans="1:13" x14ac:dyDescent="0.5">
      <c r="A34" s="167" t="s">
        <v>7</v>
      </c>
      <c r="B34" s="121" t="s">
        <v>53</v>
      </c>
      <c r="C34" s="167" t="s">
        <v>104</v>
      </c>
      <c r="D34" s="121"/>
      <c r="E34" s="121"/>
      <c r="F34" s="168"/>
      <c r="H34" s="167" t="s">
        <v>7</v>
      </c>
      <c r="I34" s="109" t="s">
        <v>127</v>
      </c>
      <c r="J34" s="167"/>
      <c r="K34" s="109"/>
      <c r="L34" s="109"/>
      <c r="M34" s="168"/>
    </row>
    <row r="35" spans="1:13" x14ac:dyDescent="0.5">
      <c r="A35" s="167"/>
      <c r="B35" s="121"/>
      <c r="C35" s="167"/>
      <c r="D35" s="121"/>
      <c r="E35" s="121"/>
      <c r="F35" s="168"/>
      <c r="H35" s="167"/>
      <c r="I35" s="109"/>
      <c r="J35" s="167"/>
      <c r="K35" s="109"/>
      <c r="L35" s="109"/>
      <c r="M35" s="168"/>
    </row>
    <row r="36" spans="1:13" ht="14.7" thickBot="1" x14ac:dyDescent="0.55000000000000004">
      <c r="A36" s="167"/>
      <c r="B36" s="121"/>
      <c r="C36" s="167"/>
      <c r="D36" s="121"/>
      <c r="E36" s="121"/>
      <c r="F36" s="168"/>
      <c r="H36" s="167"/>
      <c r="I36" s="109"/>
      <c r="J36" s="167"/>
      <c r="K36" s="109"/>
      <c r="L36" s="109"/>
      <c r="M36" s="168"/>
    </row>
    <row r="37" spans="1:13" x14ac:dyDescent="0.5">
      <c r="A37" s="172" t="s">
        <v>8</v>
      </c>
      <c r="B37" s="173" t="s">
        <v>93</v>
      </c>
      <c r="C37" s="172" t="s">
        <v>103</v>
      </c>
      <c r="D37" s="173"/>
      <c r="E37" s="173"/>
      <c r="F37" s="174"/>
      <c r="H37" s="172" t="s">
        <v>8</v>
      </c>
      <c r="I37" s="173" t="s">
        <v>93</v>
      </c>
      <c r="J37" s="172"/>
      <c r="K37" s="173"/>
      <c r="L37" s="173"/>
      <c r="M37" s="174"/>
    </row>
    <row r="38" spans="1:13" x14ac:dyDescent="0.5">
      <c r="A38" s="167"/>
      <c r="B38" s="121" t="s">
        <v>92</v>
      </c>
      <c r="C38" s="167" t="s">
        <v>102</v>
      </c>
      <c r="D38" s="121"/>
      <c r="E38" s="121"/>
      <c r="F38" s="168"/>
      <c r="H38" s="167"/>
      <c r="I38" s="109" t="s">
        <v>92</v>
      </c>
      <c r="J38" s="167"/>
      <c r="K38" s="109"/>
      <c r="L38" s="109"/>
      <c r="M38" s="168"/>
    </row>
    <row r="39" spans="1:13" ht="14.7" thickBot="1" x14ac:dyDescent="0.55000000000000004">
      <c r="A39" s="169"/>
      <c r="B39" s="170" t="s">
        <v>94</v>
      </c>
      <c r="C39" s="169" t="s">
        <v>103</v>
      </c>
      <c r="D39" s="170"/>
      <c r="E39" s="170"/>
      <c r="F39" s="171"/>
      <c r="H39" s="169"/>
      <c r="I39" s="170" t="s">
        <v>128</v>
      </c>
      <c r="J39" s="169"/>
      <c r="K39" s="170"/>
      <c r="L39" s="170"/>
      <c r="M39" s="171"/>
    </row>
    <row r="40" spans="1:13" x14ac:dyDescent="0.5">
      <c r="A40" s="167" t="s">
        <v>34</v>
      </c>
      <c r="B40" s="121" t="s">
        <v>95</v>
      </c>
      <c r="C40" s="167" t="s">
        <v>101</v>
      </c>
      <c r="D40" s="121"/>
      <c r="E40" s="121"/>
      <c r="F40" s="168"/>
      <c r="H40" s="167" t="s">
        <v>34</v>
      </c>
      <c r="I40" s="109" t="s">
        <v>95</v>
      </c>
      <c r="J40" s="167"/>
      <c r="K40" s="109"/>
      <c r="L40" s="109"/>
      <c r="M40" s="168"/>
    </row>
    <row r="41" spans="1:13" x14ac:dyDescent="0.5">
      <c r="A41" s="167"/>
      <c r="B41" s="121" t="s">
        <v>96</v>
      </c>
      <c r="C41" s="167" t="s">
        <v>101</v>
      </c>
      <c r="D41" s="121"/>
      <c r="E41" s="121"/>
      <c r="F41" s="168"/>
      <c r="H41" s="167"/>
      <c r="I41" s="109" t="s">
        <v>96</v>
      </c>
      <c r="J41" s="167"/>
      <c r="K41" s="109"/>
      <c r="L41" s="109"/>
      <c r="M41" s="168"/>
    </row>
    <row r="42" spans="1:13" ht="14.7" thickBot="1" x14ac:dyDescent="0.55000000000000004">
      <c r="A42" s="169"/>
      <c r="B42" s="170"/>
      <c r="C42" s="169" t="s">
        <v>100</v>
      </c>
      <c r="D42" s="170"/>
      <c r="E42" s="170"/>
      <c r="F42" s="171"/>
      <c r="H42" s="169"/>
      <c r="I42" s="170" t="s">
        <v>148</v>
      </c>
      <c r="J42" s="169"/>
      <c r="K42" s="170"/>
      <c r="L42" s="170"/>
      <c r="M42" s="171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zoomScale="101" zoomScaleNormal="115" workbookViewId="0">
      <selection activeCell="E14" sqref="E14"/>
    </sheetView>
  </sheetViews>
  <sheetFormatPr defaultColWidth="9.1171875" defaultRowHeight="13.7" x14ac:dyDescent="0.4"/>
  <cols>
    <col min="1" max="1" width="7.87890625" style="11" customWidth="1"/>
    <col min="2" max="2" width="29.703125" style="11" customWidth="1"/>
    <col min="3" max="3" width="12.5859375" style="11" customWidth="1"/>
    <col min="4" max="4" width="13.29296875" style="11" customWidth="1"/>
    <col min="5" max="5" width="13.703125" style="11" customWidth="1"/>
    <col min="6" max="6" width="9.1171875" style="11"/>
    <col min="7" max="7" width="9.1171875" style="10"/>
    <col min="8" max="8" width="14.87890625" style="10" bestFit="1" customWidth="1"/>
    <col min="9" max="10" width="11.5859375" style="10" bestFit="1" customWidth="1"/>
    <col min="11" max="11" width="10.5859375" style="10" bestFit="1" customWidth="1"/>
    <col min="12" max="12" width="10.87890625" style="10" bestFit="1" customWidth="1"/>
    <col min="13" max="13" width="9.1171875" style="10"/>
    <col min="14" max="16384" width="9.1171875" style="11"/>
  </cols>
  <sheetData>
    <row r="1" spans="1:7" x14ac:dyDescent="0.4">
      <c r="A1" s="6" t="s">
        <v>54</v>
      </c>
      <c r="B1" s="7"/>
      <c r="C1" s="7"/>
      <c r="D1" s="7"/>
      <c r="E1" s="7"/>
      <c r="F1" s="8"/>
      <c r="G1" s="9"/>
    </row>
    <row r="2" spans="1:7" ht="14" thickBot="1" x14ac:dyDescent="0.45">
      <c r="A2" s="12" t="s">
        <v>14</v>
      </c>
      <c r="B2" s="13"/>
      <c r="C2" s="118" t="s">
        <v>60</v>
      </c>
      <c r="D2" s="118" t="s">
        <v>61</v>
      </c>
      <c r="E2" s="118" t="s">
        <v>62</v>
      </c>
      <c r="F2" s="118" t="s">
        <v>4</v>
      </c>
    </row>
    <row r="3" spans="1:7" x14ac:dyDescent="0.4">
      <c r="A3" s="15"/>
      <c r="B3" s="7"/>
      <c r="C3" s="7"/>
      <c r="D3" s="7"/>
      <c r="E3" s="7"/>
      <c r="F3" s="8"/>
    </row>
    <row r="4" spans="1:7" x14ac:dyDescent="0.4">
      <c r="A4" s="16"/>
      <c r="B4" s="10"/>
      <c r="C4" s="10"/>
      <c r="D4" s="10"/>
      <c r="E4" s="10"/>
      <c r="F4" s="17"/>
    </row>
    <row r="5" spans="1:7" x14ac:dyDescent="0.4">
      <c r="A5" s="20" t="s">
        <v>1</v>
      </c>
      <c r="B5" s="10"/>
      <c r="C5" s="10"/>
      <c r="D5" s="10"/>
      <c r="E5" s="10"/>
      <c r="F5" s="17"/>
    </row>
    <row r="6" spans="1:7" x14ac:dyDescent="0.4">
      <c r="A6" s="16"/>
      <c r="B6" s="10"/>
      <c r="C6" s="10"/>
      <c r="D6" s="10"/>
      <c r="E6" s="10"/>
      <c r="F6" s="17"/>
    </row>
    <row r="7" spans="1:7" x14ac:dyDescent="0.4">
      <c r="A7" s="16" t="str">
        <f>"3017"</f>
        <v>3017</v>
      </c>
      <c r="B7" s="10" t="str">
        <f>"Hamnavgift"</f>
        <v>Hamnavgift</v>
      </c>
      <c r="C7" s="11">
        <v>305000</v>
      </c>
      <c r="D7" s="10">
        <v>309279</v>
      </c>
      <c r="E7" s="10">
        <v>305000</v>
      </c>
      <c r="F7" s="17"/>
    </row>
    <row r="8" spans="1:7" x14ac:dyDescent="0.4">
      <c r="A8" s="16" t="str">
        <f>"3024"</f>
        <v>3024</v>
      </c>
      <c r="B8" s="10" t="str">
        <f>"Elavgift vinterhamn"</f>
        <v>Elavgift vinterhamn</v>
      </c>
      <c r="C8" s="11">
        <v>12000</v>
      </c>
      <c r="D8" s="10">
        <v>5924</v>
      </c>
      <c r="E8" s="10">
        <v>6000</v>
      </c>
      <c r="F8" s="17"/>
    </row>
    <row r="9" spans="1:7" x14ac:dyDescent="0.4">
      <c r="A9" s="21" t="s">
        <v>0</v>
      </c>
      <c r="B9" s="18"/>
      <c r="C9" s="18">
        <f>SUM(C7:C8)</f>
        <v>317000</v>
      </c>
      <c r="D9" s="18">
        <f>SUM(D7:D8)</f>
        <v>315203</v>
      </c>
      <c r="E9" s="18">
        <f>SUM(E7:E8)</f>
        <v>311000</v>
      </c>
      <c r="F9" s="19"/>
    </row>
    <row r="10" spans="1:7" ht="14" thickBot="1" x14ac:dyDescent="0.45">
      <c r="A10" s="16"/>
      <c r="B10" s="10"/>
      <c r="D10" s="10"/>
      <c r="E10" s="10"/>
      <c r="F10" s="17"/>
    </row>
    <row r="11" spans="1:7" x14ac:dyDescent="0.4">
      <c r="A11" s="6" t="s">
        <v>11</v>
      </c>
      <c r="B11" s="7"/>
      <c r="C11" s="130" t="s">
        <v>60</v>
      </c>
      <c r="D11" s="131" t="s">
        <v>61</v>
      </c>
      <c r="E11" s="131" t="s">
        <v>62</v>
      </c>
      <c r="F11" s="132" t="s">
        <v>4</v>
      </c>
    </row>
    <row r="12" spans="1:7" x14ac:dyDescent="0.4">
      <c r="A12" s="16" t="str">
        <f>"6011"</f>
        <v>6011</v>
      </c>
      <c r="B12" s="10" t="str">
        <f>"Tomträttsavgäld /arrende"</f>
        <v>Tomträttsavgäld /arrende</v>
      </c>
      <c r="C12" s="149">
        <v>-193000</v>
      </c>
      <c r="D12" s="148">
        <v>-135832</v>
      </c>
      <c r="E12" s="150">
        <v>-193000</v>
      </c>
      <c r="F12" s="17">
        <v>1</v>
      </c>
    </row>
    <row r="13" spans="1:7" x14ac:dyDescent="0.4">
      <c r="A13" s="16" t="str">
        <f>"6080"</f>
        <v>6080</v>
      </c>
      <c r="B13" s="10" t="str">
        <f>"Reparation och underhåll"</f>
        <v>Reparation och underhåll</v>
      </c>
      <c r="C13" s="16">
        <v>-10000</v>
      </c>
      <c r="D13" s="148">
        <v>-13979</v>
      </c>
      <c r="E13" s="148">
        <v>-30000</v>
      </c>
      <c r="F13" s="17">
        <v>2</v>
      </c>
    </row>
    <row r="14" spans="1:7" x14ac:dyDescent="0.4">
      <c r="A14" s="16" t="str">
        <f>"6200"</f>
        <v>6200</v>
      </c>
      <c r="B14" s="10" t="str">
        <f>"Elavgifter"</f>
        <v>Elavgifter</v>
      </c>
      <c r="C14" s="16">
        <v>-35000</v>
      </c>
      <c r="D14" s="148">
        <v>-25064</v>
      </c>
      <c r="E14" s="148">
        <v>-30000</v>
      </c>
      <c r="F14" s="17"/>
    </row>
    <row r="15" spans="1:7" x14ac:dyDescent="0.4">
      <c r="A15" s="16" t="str">
        <f>"6410"</f>
        <v>6410</v>
      </c>
      <c r="B15" s="10" t="str">
        <f>"Förbrukningsinventarier/mtrl"</f>
        <v>Förbrukningsinventarier/mtrl</v>
      </c>
      <c r="C15" s="16">
        <v>-3000</v>
      </c>
      <c r="D15" s="148">
        <v>-4660</v>
      </c>
      <c r="E15" s="148">
        <v>-3000</v>
      </c>
      <c r="F15" s="17">
        <v>3</v>
      </c>
    </row>
    <row r="16" spans="1:7" ht="14" thickBot="1" x14ac:dyDescent="0.45">
      <c r="A16" s="59">
        <v>7690</v>
      </c>
      <c r="B16" s="13" t="s">
        <v>44</v>
      </c>
      <c r="C16" s="12">
        <v>-4000</v>
      </c>
      <c r="D16" s="13">
        <v>0</v>
      </c>
      <c r="E16" s="13">
        <v>-4000</v>
      </c>
      <c r="F16" s="14">
        <v>4</v>
      </c>
    </row>
    <row r="17" spans="1:13" x14ac:dyDescent="0.4">
      <c r="A17" s="15"/>
      <c r="B17" s="7"/>
      <c r="C17" s="7"/>
      <c r="D17" s="7"/>
      <c r="E17" s="7"/>
      <c r="F17" s="8"/>
    </row>
    <row r="18" spans="1:13" ht="14" thickBot="1" x14ac:dyDescent="0.45">
      <c r="A18" s="12"/>
      <c r="B18" s="13"/>
      <c r="C18" s="13"/>
      <c r="D18" s="13"/>
      <c r="E18" s="13"/>
      <c r="F18" s="14"/>
    </row>
    <row r="19" spans="1:13" x14ac:dyDescent="0.4">
      <c r="A19" s="6" t="s">
        <v>3</v>
      </c>
      <c r="B19" s="7"/>
      <c r="C19" s="7">
        <f>SUM(C12:C18)</f>
        <v>-245000</v>
      </c>
      <c r="D19" s="7">
        <f>SUM(D12:D18)</f>
        <v>-179535</v>
      </c>
      <c r="E19" s="7">
        <f>SUM(E12:E18)</f>
        <v>-260000</v>
      </c>
      <c r="F19" s="8"/>
    </row>
    <row r="20" spans="1:13" ht="14" thickBot="1" x14ac:dyDescent="0.45">
      <c r="A20" s="12"/>
      <c r="B20" s="13"/>
      <c r="C20" s="13"/>
      <c r="D20" s="13"/>
      <c r="E20" s="13"/>
      <c r="F20" s="14"/>
    </row>
    <row r="21" spans="1:13" ht="14" thickBot="1" x14ac:dyDescent="0.45">
      <c r="A21" s="12"/>
      <c r="B21" s="13"/>
      <c r="C21" s="13"/>
      <c r="D21" s="13"/>
      <c r="E21" s="13"/>
      <c r="F21" s="14"/>
      <c r="G21" s="11"/>
      <c r="H21" s="11"/>
      <c r="I21" s="11"/>
      <c r="J21" s="11"/>
      <c r="K21" s="11"/>
      <c r="L21" s="11"/>
      <c r="M21" s="11"/>
    </row>
    <row r="22" spans="1:13" ht="14" thickBot="1" x14ac:dyDescent="0.45">
      <c r="A22" s="138" t="s">
        <v>70</v>
      </c>
      <c r="B22" s="139"/>
      <c r="C22" s="138" t="s">
        <v>114</v>
      </c>
      <c r="D22" s="140"/>
      <c r="E22" s="140"/>
      <c r="F22" s="139"/>
    </row>
    <row r="23" spans="1:13" x14ac:dyDescent="0.4">
      <c r="A23" s="15" t="s">
        <v>6</v>
      </c>
      <c r="B23" s="7"/>
      <c r="C23" s="15" t="s">
        <v>71</v>
      </c>
      <c r="D23" s="7"/>
      <c r="E23" s="7"/>
      <c r="F23" s="8"/>
    </row>
    <row r="24" spans="1:13" x14ac:dyDescent="0.4">
      <c r="A24" s="16"/>
      <c r="B24" s="148"/>
      <c r="C24" s="16"/>
      <c r="D24" s="148"/>
      <c r="E24" s="148"/>
      <c r="F24" s="17"/>
    </row>
    <row r="25" spans="1:13" ht="14" thickBot="1" x14ac:dyDescent="0.45">
      <c r="A25" s="16"/>
      <c r="B25" s="148"/>
      <c r="C25" s="16"/>
      <c r="D25" s="148"/>
      <c r="E25" s="148"/>
      <c r="F25" s="17"/>
    </row>
    <row r="26" spans="1:13" ht="14.35" x14ac:dyDescent="0.5">
      <c r="A26" s="15" t="s">
        <v>7</v>
      </c>
      <c r="B26" s="7" t="s">
        <v>57</v>
      </c>
      <c r="C26" s="15" t="s">
        <v>72</v>
      </c>
      <c r="D26" s="7"/>
      <c r="E26" s="7"/>
      <c r="F26" s="8"/>
      <c r="I26"/>
    </row>
    <row r="27" spans="1:13" ht="14.35" x14ac:dyDescent="0.5">
      <c r="A27" s="16"/>
      <c r="B27" s="148"/>
      <c r="C27" s="16"/>
      <c r="D27" s="148"/>
      <c r="E27" s="148"/>
      <c r="F27" s="17"/>
      <c r="I27"/>
    </row>
    <row r="28" spans="1:13" ht="14.7" thickBot="1" x14ac:dyDescent="0.55000000000000004">
      <c r="A28" s="12"/>
      <c r="B28" s="13"/>
      <c r="C28" s="12"/>
      <c r="D28" s="13"/>
      <c r="E28" s="13"/>
      <c r="F28" s="14"/>
      <c r="I28"/>
    </row>
    <row r="29" spans="1:13" x14ac:dyDescent="0.4">
      <c r="A29" s="16" t="s">
        <v>8</v>
      </c>
      <c r="B29" s="148"/>
      <c r="C29" s="16"/>
      <c r="D29" s="148"/>
      <c r="E29" s="148"/>
      <c r="F29" s="17"/>
    </row>
    <row r="30" spans="1:13" x14ac:dyDescent="0.4">
      <c r="A30" s="133"/>
      <c r="B30" s="148"/>
      <c r="C30" s="16"/>
      <c r="D30" s="148"/>
      <c r="E30" s="148"/>
      <c r="F30" s="17"/>
    </row>
    <row r="31" spans="1:13" ht="14" thickBot="1" x14ac:dyDescent="0.45">
      <c r="A31" s="16"/>
      <c r="B31" s="148"/>
      <c r="C31" s="16"/>
      <c r="D31" s="148"/>
      <c r="E31" s="148"/>
      <c r="F31" s="17"/>
    </row>
    <row r="32" spans="1:13" x14ac:dyDescent="0.4">
      <c r="A32" s="15" t="s">
        <v>9</v>
      </c>
      <c r="B32" s="7"/>
      <c r="C32" s="130" t="s">
        <v>66</v>
      </c>
      <c r="D32" s="7"/>
      <c r="E32" s="7"/>
      <c r="F32" s="8"/>
    </row>
    <row r="33" spans="1:6" x14ac:dyDescent="0.4">
      <c r="A33" s="16"/>
      <c r="B33" s="148"/>
      <c r="C33" s="16"/>
      <c r="D33" s="148"/>
      <c r="E33" s="148"/>
      <c r="F33" s="17"/>
    </row>
    <row r="34" spans="1:6" ht="14" thickBot="1" x14ac:dyDescent="0.45">
      <c r="A34" s="12"/>
      <c r="B34" s="13"/>
      <c r="C34" s="12"/>
      <c r="D34" s="13"/>
      <c r="E34" s="13"/>
      <c r="F34" s="14"/>
    </row>
    <row r="37" spans="1:6" x14ac:dyDescent="0.4">
      <c r="A37" s="10" t="s">
        <v>23</v>
      </c>
    </row>
    <row r="39" spans="1:6" x14ac:dyDescent="0.4">
      <c r="A39" s="11" t="s">
        <v>58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5"/>
  <sheetViews>
    <sheetView topLeftCell="A4" zoomScale="91" zoomScaleNormal="91" workbookViewId="0">
      <selection activeCell="J29" sqref="J29"/>
    </sheetView>
  </sheetViews>
  <sheetFormatPr defaultColWidth="8.87890625" defaultRowHeight="14.35" x14ac:dyDescent="0.5"/>
  <cols>
    <col min="1" max="1" width="9.1171875" style="33" customWidth="1"/>
    <col min="2" max="2" width="28.29296875" style="33" customWidth="1"/>
    <col min="3" max="3" width="11.87890625" style="33" customWidth="1"/>
    <col min="4" max="4" width="13" style="33" customWidth="1"/>
    <col min="5" max="5" width="12.1171875" style="33" customWidth="1"/>
    <col min="6" max="6" width="10.87890625" style="33" customWidth="1"/>
    <col min="7" max="16384" width="8.87890625" style="33"/>
  </cols>
  <sheetData>
    <row r="1" spans="1:6" ht="16.5" customHeight="1" x14ac:dyDescent="0.5">
      <c r="A1" s="62" t="s">
        <v>111</v>
      </c>
      <c r="B1" s="31"/>
      <c r="C1" s="31"/>
      <c r="D1" s="31"/>
      <c r="E1" s="31"/>
      <c r="F1" s="32"/>
    </row>
    <row r="2" spans="1:6" ht="15" customHeight="1" thickBot="1" x14ac:dyDescent="0.55000000000000004">
      <c r="A2" s="35" t="s">
        <v>22</v>
      </c>
      <c r="B2" s="36"/>
      <c r="C2" s="37" t="s">
        <v>49</v>
      </c>
      <c r="D2" s="37" t="s">
        <v>61</v>
      </c>
      <c r="E2" s="37" t="s">
        <v>110</v>
      </c>
      <c r="F2" s="38" t="s">
        <v>4</v>
      </c>
    </row>
    <row r="3" spans="1:6" ht="15" customHeight="1" thickBot="1" x14ac:dyDescent="0.55000000000000004">
      <c r="A3" s="39"/>
      <c r="B3" s="40"/>
      <c r="C3" s="40"/>
      <c r="D3" s="40"/>
      <c r="E3" s="40"/>
      <c r="F3" s="40"/>
    </row>
    <row r="4" spans="1:6" ht="16.5" customHeight="1" x14ac:dyDescent="0.5">
      <c r="A4" s="30" t="s">
        <v>11</v>
      </c>
      <c r="B4" s="41"/>
      <c r="C4" s="41"/>
      <c r="D4" s="41"/>
      <c r="E4" s="41"/>
      <c r="F4" s="41"/>
    </row>
    <row r="5" spans="1:6" ht="15.95" customHeight="1" x14ac:dyDescent="0.5">
      <c r="A5" s="42" t="str">
        <f>"6550"</f>
        <v>6550</v>
      </c>
      <c r="B5" s="42" t="s">
        <v>31</v>
      </c>
      <c r="C5" s="44">
        <v>-32000</v>
      </c>
      <c r="D5" s="43">
        <v>-36840</v>
      </c>
      <c r="E5" s="44">
        <v>-40000</v>
      </c>
      <c r="F5" s="49">
        <v>1</v>
      </c>
    </row>
    <row r="6" spans="1:6" ht="15.95" customHeight="1" x14ac:dyDescent="0.5">
      <c r="A6" s="42" t="str">
        <f>"6740"</f>
        <v>6740</v>
      </c>
      <c r="B6" s="42" t="str">
        <f>"Data och bredbandskostnader"</f>
        <v>Data och bredbandskostnader</v>
      </c>
      <c r="C6" s="44">
        <v>-7000</v>
      </c>
      <c r="D6" s="43">
        <v>-6419</v>
      </c>
      <c r="E6" s="44">
        <v>-7000</v>
      </c>
      <c r="F6" s="43"/>
    </row>
    <row r="7" spans="1:6" ht="15.95" customHeight="1" x14ac:dyDescent="0.5">
      <c r="A7" s="45" t="str">
        <f>"6850"</f>
        <v>6850</v>
      </c>
      <c r="B7" s="45" t="str">
        <f>"Porto"</f>
        <v>Porto</v>
      </c>
      <c r="C7" s="44">
        <v>-10000</v>
      </c>
      <c r="D7" s="46">
        <v>-10303</v>
      </c>
      <c r="E7" s="44">
        <v>-11000</v>
      </c>
      <c r="F7" s="41">
        <v>2</v>
      </c>
    </row>
    <row r="8" spans="1:6" ht="15.95" customHeight="1" x14ac:dyDescent="0.5">
      <c r="A8" s="52">
        <v>6410</v>
      </c>
      <c r="B8" s="34" t="s">
        <v>32</v>
      </c>
      <c r="C8" s="44">
        <v>-4000</v>
      </c>
      <c r="D8" s="48">
        <v>-995</v>
      </c>
      <c r="E8" s="44">
        <v>-2000</v>
      </c>
      <c r="F8" s="41"/>
    </row>
    <row r="9" spans="1:6" ht="15.95" customHeight="1" x14ac:dyDescent="0.5">
      <c r="A9" s="52">
        <v>7690</v>
      </c>
      <c r="B9" s="47" t="s">
        <v>90</v>
      </c>
      <c r="C9" s="49"/>
      <c r="D9" s="48"/>
      <c r="E9" s="49">
        <v>-4000</v>
      </c>
      <c r="F9" s="34">
        <v>3</v>
      </c>
    </row>
    <row r="10" spans="1:6" ht="15.95" customHeight="1" x14ac:dyDescent="0.5">
      <c r="A10" s="50" t="s">
        <v>3</v>
      </c>
      <c r="B10" s="51"/>
      <c r="C10" s="51">
        <f>SUM(C5:C9)</f>
        <v>-53000</v>
      </c>
      <c r="D10" s="51">
        <f>SUM(D5:D9)</f>
        <v>-54557</v>
      </c>
      <c r="E10" s="51">
        <f>SUM(E5:E9)</f>
        <v>-64000</v>
      </c>
      <c r="F10" s="51"/>
    </row>
    <row r="11" spans="1:6" ht="15.95" customHeight="1" x14ac:dyDescent="0.5">
      <c r="A11" s="41"/>
      <c r="B11" s="41"/>
      <c r="C11" s="41"/>
      <c r="D11" s="43"/>
      <c r="E11" s="41"/>
      <c r="F11" s="43"/>
    </row>
    <row r="12" spans="1:6" ht="15.95" customHeight="1" x14ac:dyDescent="0.5">
      <c r="A12" s="41"/>
      <c r="B12" s="41"/>
      <c r="C12" s="41"/>
      <c r="D12" s="41"/>
      <c r="E12" s="41"/>
      <c r="F12" s="43"/>
    </row>
    <row r="13" spans="1:6" ht="15.95" customHeight="1" x14ac:dyDescent="0.5">
      <c r="A13" s="42" t="s">
        <v>5</v>
      </c>
      <c r="B13" s="41"/>
      <c r="C13" s="41"/>
      <c r="D13" s="43"/>
      <c r="E13" s="43"/>
      <c r="F13" s="41"/>
    </row>
    <row r="14" spans="1:6" ht="15.95" customHeight="1" x14ac:dyDescent="0.5">
      <c r="A14" s="42" t="s">
        <v>6</v>
      </c>
      <c r="B14" s="43" t="s">
        <v>112</v>
      </c>
      <c r="C14" s="43"/>
      <c r="D14" s="43"/>
      <c r="E14" s="43"/>
      <c r="F14" s="43"/>
    </row>
    <row r="15" spans="1:6" ht="15.95" customHeight="1" x14ac:dyDescent="0.5">
      <c r="A15" s="42"/>
      <c r="B15" s="43"/>
      <c r="C15" s="43"/>
      <c r="D15" s="43"/>
      <c r="E15" s="43"/>
      <c r="F15" s="43"/>
    </row>
    <row r="16" spans="1:6" ht="15.95" customHeight="1" x14ac:dyDescent="0.5">
      <c r="A16" s="42" t="s">
        <v>7</v>
      </c>
      <c r="B16" s="43" t="s">
        <v>113</v>
      </c>
      <c r="C16" s="43"/>
      <c r="D16" s="43"/>
      <c r="E16" s="43"/>
      <c r="F16" s="43"/>
    </row>
    <row r="17" spans="1:6" ht="15.95" customHeight="1" thickBot="1" x14ac:dyDescent="0.55000000000000004">
      <c r="A17" s="41"/>
      <c r="B17" s="43"/>
      <c r="C17" s="43"/>
      <c r="D17" s="43"/>
      <c r="E17" s="43"/>
      <c r="F17" s="43"/>
    </row>
    <row r="18" spans="1:6" ht="15.95" customHeight="1" x14ac:dyDescent="0.5">
      <c r="A18" s="41" t="s">
        <v>147</v>
      </c>
      <c r="B18" s="200" t="s">
        <v>136</v>
      </c>
      <c r="C18" s="43"/>
      <c r="D18" s="43"/>
      <c r="E18" s="43"/>
      <c r="F18" s="43"/>
    </row>
    <row r="19" spans="1:6" ht="15.95" customHeight="1" x14ac:dyDescent="0.5">
      <c r="A19" s="43"/>
      <c r="B19" s="43"/>
      <c r="C19" s="43"/>
      <c r="D19" s="43"/>
      <c r="E19" s="43"/>
      <c r="F19" s="43"/>
    </row>
    <row r="20" spans="1:6" ht="15.95" customHeight="1" x14ac:dyDescent="0.5">
      <c r="C20" s="43"/>
      <c r="D20" s="43"/>
      <c r="E20" s="43"/>
      <c r="F20" s="43"/>
    </row>
    <row r="21" spans="1:6" ht="15.95" customHeight="1" x14ac:dyDescent="0.5">
      <c r="A21" s="42"/>
      <c r="B21" s="47"/>
      <c r="C21" s="43"/>
      <c r="D21" s="43"/>
      <c r="E21" s="43"/>
      <c r="F21" s="43"/>
    </row>
    <row r="22" spans="1:6" ht="15.95" customHeight="1" x14ac:dyDescent="0.5">
      <c r="A22" s="43"/>
      <c r="B22" s="41"/>
      <c r="C22" s="41"/>
      <c r="D22" s="41"/>
      <c r="E22" s="41"/>
      <c r="F22" s="41"/>
    </row>
    <row r="23" spans="1:6" ht="15.95" customHeight="1" x14ac:dyDescent="0.5">
      <c r="A23" s="43"/>
      <c r="B23" s="41"/>
      <c r="C23" s="41"/>
      <c r="D23" s="41"/>
      <c r="E23" s="41"/>
      <c r="F23" s="41"/>
    </row>
    <row r="24" spans="1:6" ht="15.95" customHeight="1" x14ac:dyDescent="0.5">
      <c r="A24" s="43"/>
      <c r="B24" s="43"/>
      <c r="C24" s="43"/>
      <c r="D24" s="43"/>
      <c r="E24" s="43"/>
      <c r="F24" s="43"/>
    </row>
    <row r="25" spans="1:6" ht="15.95" customHeight="1" x14ac:dyDescent="0.5">
      <c r="A25" s="43"/>
      <c r="B25" s="43"/>
      <c r="C25" s="43"/>
      <c r="D25" s="43"/>
      <c r="E25" s="43"/>
      <c r="F25" s="43"/>
    </row>
    <row r="26" spans="1:6" ht="15.95" customHeight="1" x14ac:dyDescent="0.5">
      <c r="A26" s="43"/>
      <c r="B26" s="43"/>
      <c r="C26" s="43"/>
      <c r="D26" s="43"/>
      <c r="E26" s="43"/>
      <c r="F26" s="43"/>
    </row>
    <row r="27" spans="1:6" ht="15.95" customHeight="1" x14ac:dyDescent="0.5">
      <c r="A27" s="43"/>
      <c r="B27" s="43"/>
      <c r="C27" s="43"/>
      <c r="D27" s="43"/>
      <c r="E27" s="43"/>
      <c r="F27" s="43"/>
    </row>
    <row r="28" spans="1:6" ht="15.95" customHeight="1" x14ac:dyDescent="0.5">
      <c r="A28" s="43"/>
      <c r="B28" s="43"/>
      <c r="C28" s="43"/>
      <c r="D28" s="43"/>
      <c r="E28" s="43"/>
      <c r="F28" s="43"/>
    </row>
    <row r="29" spans="1:6" ht="15.95" customHeight="1" x14ac:dyDescent="0.5">
      <c r="A29" s="43"/>
      <c r="B29" s="43"/>
      <c r="C29" s="43"/>
      <c r="D29" s="43"/>
      <c r="E29" s="43"/>
      <c r="F29" s="43"/>
    </row>
    <row r="30" spans="1:6" ht="15.95" customHeight="1" x14ac:dyDescent="0.5">
      <c r="A30" s="43"/>
      <c r="B30" s="43"/>
      <c r="C30" s="43"/>
      <c r="D30" s="43"/>
      <c r="E30" s="43"/>
      <c r="F30" s="43"/>
    </row>
    <row r="31" spans="1:6" ht="15.95" customHeight="1" x14ac:dyDescent="0.5">
      <c r="A31" s="43"/>
      <c r="B31" s="43"/>
      <c r="C31" s="43"/>
      <c r="D31" s="43"/>
      <c r="E31" s="43"/>
      <c r="F31" s="43"/>
    </row>
    <row r="32" spans="1:6" ht="15.95" customHeight="1" x14ac:dyDescent="0.5">
      <c r="A32" s="43"/>
      <c r="B32" s="43"/>
      <c r="C32" s="43"/>
      <c r="D32" s="43"/>
      <c r="E32" s="43"/>
      <c r="F32" s="43"/>
    </row>
    <row r="33" spans="1:6" ht="15.95" customHeight="1" x14ac:dyDescent="0.5">
      <c r="A33" s="43"/>
      <c r="B33" s="43"/>
      <c r="C33" s="43"/>
      <c r="D33" s="43"/>
      <c r="E33" s="43"/>
      <c r="F33" s="43"/>
    </row>
    <row r="34" spans="1:6" ht="15.95" customHeight="1" x14ac:dyDescent="0.5">
      <c r="A34" s="43"/>
      <c r="B34" s="43"/>
      <c r="C34" s="43"/>
      <c r="D34" s="43"/>
      <c r="E34" s="43"/>
      <c r="F34" s="43"/>
    </row>
    <row r="35" spans="1:6" ht="15.95" customHeight="1" x14ac:dyDescent="0.5">
      <c r="A35" s="43"/>
      <c r="B35" s="43"/>
      <c r="C35" s="43"/>
      <c r="D35" s="43"/>
      <c r="E35" s="43"/>
      <c r="F35" s="43"/>
    </row>
    <row r="36" spans="1:6" ht="15.95" customHeight="1" x14ac:dyDescent="0.5">
      <c r="A36" s="43"/>
      <c r="B36" s="43"/>
      <c r="C36" s="43"/>
      <c r="D36" s="43"/>
      <c r="E36" s="43"/>
      <c r="F36" s="43"/>
    </row>
    <row r="37" spans="1:6" ht="15.95" customHeight="1" x14ac:dyDescent="0.5">
      <c r="A37" s="43"/>
      <c r="B37" s="43"/>
      <c r="C37" s="43"/>
      <c r="D37" s="43"/>
      <c r="E37" s="43"/>
      <c r="F37" s="43"/>
    </row>
    <row r="38" spans="1:6" ht="15.95" customHeight="1" x14ac:dyDescent="0.5">
      <c r="A38" s="43"/>
      <c r="B38" s="43"/>
      <c r="C38" s="43"/>
      <c r="D38" s="43"/>
      <c r="E38" s="43"/>
      <c r="F38" s="43"/>
    </row>
    <row r="39" spans="1:6" ht="15.95" customHeight="1" x14ac:dyDescent="0.5">
      <c r="A39" s="43"/>
      <c r="B39" s="43"/>
      <c r="C39" s="43"/>
      <c r="D39" s="43"/>
      <c r="E39" s="43"/>
      <c r="F39" s="43"/>
    </row>
    <row r="40" spans="1:6" ht="15.95" customHeight="1" x14ac:dyDescent="0.5">
      <c r="A40" s="43"/>
      <c r="B40" s="43"/>
      <c r="C40" s="43"/>
      <c r="D40" s="43"/>
      <c r="E40" s="43"/>
      <c r="F40" s="43"/>
    </row>
    <row r="41" spans="1:6" ht="15.95" customHeight="1" x14ac:dyDescent="0.5">
      <c r="A41" s="43"/>
      <c r="B41" s="43"/>
      <c r="C41" s="43"/>
      <c r="D41" s="43"/>
      <c r="E41" s="43"/>
      <c r="F41" s="43"/>
    </row>
    <row r="42" spans="1:6" ht="15.95" customHeight="1" x14ac:dyDescent="0.5">
      <c r="A42" s="43"/>
      <c r="B42" s="43"/>
      <c r="C42" s="43"/>
      <c r="D42" s="43"/>
      <c r="E42" s="43"/>
      <c r="F42" s="43"/>
    </row>
    <row r="43" spans="1:6" ht="15.95" customHeight="1" x14ac:dyDescent="0.5">
      <c r="A43" s="43"/>
      <c r="B43" s="43"/>
      <c r="C43" s="43"/>
      <c r="D43" s="43"/>
      <c r="E43" s="43"/>
      <c r="F43" s="43"/>
    </row>
    <row r="44" spans="1:6" ht="15.95" customHeight="1" x14ac:dyDescent="0.5">
      <c r="A44" s="43"/>
      <c r="B44" s="43"/>
      <c r="C44" s="43"/>
      <c r="D44" s="43"/>
      <c r="E44" s="43"/>
      <c r="F44" s="43"/>
    </row>
    <row r="45" spans="1:6" ht="15.95" customHeight="1" x14ac:dyDescent="0.5">
      <c r="A45" s="43"/>
      <c r="B45" s="43"/>
      <c r="C45" s="43"/>
      <c r="D45" s="43"/>
      <c r="E45" s="43"/>
      <c r="F45" s="4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0"/>
  <sheetViews>
    <sheetView topLeftCell="C26" zoomScale="145" zoomScaleNormal="145" workbookViewId="0">
      <selection activeCell="I38" sqref="I38"/>
    </sheetView>
  </sheetViews>
  <sheetFormatPr defaultColWidth="9.1171875" defaultRowHeight="15.7" x14ac:dyDescent="0.5"/>
  <cols>
    <col min="1" max="1" width="7.87890625" style="67" customWidth="1"/>
    <col min="2" max="2" width="29" style="67" customWidth="1"/>
    <col min="3" max="3" width="13.41015625" style="67" customWidth="1"/>
    <col min="4" max="4" width="14.87890625" style="67" customWidth="1"/>
    <col min="5" max="5" width="13.41015625" style="67" customWidth="1"/>
    <col min="6" max="6" width="5.29296875" style="67" customWidth="1"/>
    <col min="7" max="7" width="9.1171875" style="67"/>
    <col min="8" max="8" width="9.1171875" style="201"/>
    <col min="9" max="9" width="27.3515625" style="201" customWidth="1"/>
    <col min="10" max="10" width="11.5859375" style="201" bestFit="1" customWidth="1"/>
    <col min="11" max="11" width="10.5859375" style="201" bestFit="1" customWidth="1"/>
    <col min="12" max="12" width="9.29296875" style="201" bestFit="1" customWidth="1"/>
    <col min="13" max="13" width="9.1171875" style="201"/>
    <col min="14" max="16384" width="9.1171875" style="67"/>
  </cols>
  <sheetData>
    <row r="1" spans="1:7" ht="16" thickBot="1" x14ac:dyDescent="0.55000000000000004">
      <c r="A1" s="63" t="s">
        <v>85</v>
      </c>
      <c r="B1" s="64"/>
      <c r="C1" s="64"/>
      <c r="D1" s="64"/>
      <c r="E1" s="64"/>
      <c r="F1" s="65"/>
      <c r="G1" s="66"/>
    </row>
    <row r="2" spans="1:7" ht="16" thickBot="1" x14ac:dyDescent="0.55000000000000004">
      <c r="A2" s="68" t="s">
        <v>12</v>
      </c>
      <c r="B2" s="69"/>
      <c r="C2" s="130" t="s">
        <v>60</v>
      </c>
      <c r="D2" s="131" t="s">
        <v>61</v>
      </c>
      <c r="E2" s="131" t="s">
        <v>62</v>
      </c>
      <c r="F2" s="132" t="s">
        <v>4</v>
      </c>
      <c r="G2" s="66"/>
    </row>
    <row r="3" spans="1:7" x14ac:dyDescent="0.5">
      <c r="A3" s="71" t="s">
        <v>13</v>
      </c>
      <c r="B3" s="64"/>
      <c r="C3" s="64"/>
      <c r="D3" s="64"/>
      <c r="E3" s="64"/>
      <c r="F3" s="65"/>
      <c r="G3" s="66"/>
    </row>
    <row r="4" spans="1:7" x14ac:dyDescent="0.5">
      <c r="A4" s="72" t="str">
        <f>"3020"</f>
        <v>3020</v>
      </c>
      <c r="B4" s="67" t="str">
        <f>"Avgift skåp"</f>
        <v>Avgift skåp</v>
      </c>
      <c r="C4" s="67">
        <v>15000</v>
      </c>
      <c r="D4" s="67">
        <v>7000</v>
      </c>
      <c r="E4" s="67">
        <v>7000</v>
      </c>
      <c r="F4" s="73">
        <v>1</v>
      </c>
      <c r="G4" s="66"/>
    </row>
    <row r="5" spans="1:7" x14ac:dyDescent="0.5">
      <c r="A5" s="72" t="str">
        <f>"3021"</f>
        <v>3021</v>
      </c>
      <c r="B5" s="67" t="str">
        <f>"Nyckelintäkter"</f>
        <v>Nyckelintäkter</v>
      </c>
      <c r="C5" s="67">
        <v>3000</v>
      </c>
      <c r="D5" s="67">
        <v>78000</v>
      </c>
      <c r="E5" s="67">
        <v>3000</v>
      </c>
      <c r="F5" s="73"/>
      <c r="G5" s="74"/>
    </row>
    <row r="6" spans="1:7" x14ac:dyDescent="0.5">
      <c r="A6" s="72" t="str">
        <f>"3028"</f>
        <v>3028</v>
      </c>
      <c r="B6" s="67" t="str">
        <f>"Jollefack avgifter"</f>
        <v>Jollefack avgifter</v>
      </c>
      <c r="C6" s="67">
        <v>1750</v>
      </c>
      <c r="D6" s="67">
        <v>0</v>
      </c>
      <c r="E6" s="67">
        <v>1750</v>
      </c>
      <c r="F6" s="73"/>
      <c r="G6" s="66"/>
    </row>
    <row r="7" spans="1:7" x14ac:dyDescent="0.5">
      <c r="A7" s="72" t="str">
        <f>"3030"</f>
        <v>3030</v>
      </c>
      <c r="B7" s="67" t="str">
        <f>"Uthyrning klubblokal"</f>
        <v>Uthyrning klubblokal</v>
      </c>
      <c r="C7" s="67">
        <v>20000</v>
      </c>
      <c r="D7" s="67">
        <v>1375</v>
      </c>
      <c r="E7" s="67">
        <v>10000</v>
      </c>
      <c r="F7" s="73">
        <v>2</v>
      </c>
      <c r="G7" s="66"/>
    </row>
    <row r="8" spans="1:7" x14ac:dyDescent="0.5">
      <c r="A8" s="72" t="str">
        <f>"3050"</f>
        <v>3050</v>
      </c>
      <c r="B8" s="67" t="str">
        <f>"Försäljning övrigt"</f>
        <v>Försäljning övrigt</v>
      </c>
      <c r="C8" s="67">
        <v>1000</v>
      </c>
      <c r="D8" s="67">
        <v>300</v>
      </c>
      <c r="E8" s="67">
        <v>1000</v>
      </c>
      <c r="F8" s="73"/>
      <c r="G8" s="66"/>
    </row>
    <row r="9" spans="1:7" x14ac:dyDescent="0.5">
      <c r="A9" s="75" t="s">
        <v>0</v>
      </c>
      <c r="B9" s="76"/>
      <c r="C9" s="76">
        <f>SUM(C4:C8)</f>
        <v>40750</v>
      </c>
      <c r="D9" s="76">
        <f>SUM(D4:D8)</f>
        <v>86675</v>
      </c>
      <c r="E9" s="76">
        <f>SUM(E4:E8)</f>
        <v>22750</v>
      </c>
      <c r="F9" s="77"/>
      <c r="G9" s="74"/>
    </row>
    <row r="10" spans="1:7" ht="16" thickBot="1" x14ac:dyDescent="0.55000000000000004">
      <c r="A10" s="78"/>
      <c r="B10" s="69"/>
      <c r="C10" s="69"/>
      <c r="D10" s="69"/>
      <c r="E10" s="69"/>
      <c r="F10" s="70"/>
      <c r="G10" s="66"/>
    </row>
    <row r="11" spans="1:7" x14ac:dyDescent="0.5">
      <c r="A11" s="79"/>
      <c r="B11" s="64"/>
      <c r="C11" s="130" t="s">
        <v>60</v>
      </c>
      <c r="D11" s="131" t="s">
        <v>61</v>
      </c>
      <c r="E11" s="131" t="s">
        <v>62</v>
      </c>
      <c r="F11" s="132" t="s">
        <v>4</v>
      </c>
      <c r="G11" s="74"/>
    </row>
    <row r="12" spans="1:7" x14ac:dyDescent="0.5">
      <c r="A12" s="72" t="str">
        <f>"6010"</f>
        <v>6010</v>
      </c>
      <c r="B12" s="67" t="str">
        <f>"Lokalhyra"</f>
        <v>Lokalhyra</v>
      </c>
      <c r="C12" s="67">
        <v>-120000</v>
      </c>
      <c r="D12" s="67">
        <v>-88878</v>
      </c>
      <c r="E12" s="67">
        <v>-120000</v>
      </c>
      <c r="F12" s="73">
        <v>3</v>
      </c>
      <c r="G12" s="66"/>
    </row>
    <row r="13" spans="1:7" x14ac:dyDescent="0.5">
      <c r="A13" s="72" t="str">
        <f>"6080"</f>
        <v>6080</v>
      </c>
      <c r="B13" s="67" t="str">
        <f>"Reparation och underhåll"</f>
        <v>Reparation och underhåll</v>
      </c>
      <c r="C13" s="67">
        <v>-110000</v>
      </c>
      <c r="D13" s="67">
        <v>-4641</v>
      </c>
      <c r="E13" s="67">
        <v>-325000</v>
      </c>
      <c r="F13" s="73">
        <v>4</v>
      </c>
      <c r="G13" s="66"/>
    </row>
    <row r="14" spans="1:7" x14ac:dyDescent="0.5">
      <c r="A14" s="72" t="str">
        <f>"6200"</f>
        <v>6200</v>
      </c>
      <c r="B14" s="67" t="str">
        <f>"Elavgifter"</f>
        <v>Elavgifter</v>
      </c>
      <c r="C14" s="67">
        <v>-20000</v>
      </c>
      <c r="D14" s="67">
        <v>-19673</v>
      </c>
      <c r="E14" s="67">
        <v>-20000</v>
      </c>
      <c r="F14" s="73"/>
      <c r="G14" s="66"/>
    </row>
    <row r="15" spans="1:7" x14ac:dyDescent="0.5">
      <c r="A15" s="72" t="str">
        <f>"6202"</f>
        <v>6202</v>
      </c>
      <c r="B15" s="67" t="str">
        <f>"Sophämtning"</f>
        <v>Sophämtning</v>
      </c>
      <c r="C15" s="67">
        <v>-8000</v>
      </c>
      <c r="D15" s="67">
        <v>-4015</v>
      </c>
      <c r="E15" s="67">
        <v>-8000</v>
      </c>
      <c r="F15" s="73"/>
      <c r="G15" s="66"/>
    </row>
    <row r="16" spans="1:7" x14ac:dyDescent="0.5">
      <c r="A16" s="72" t="str">
        <f>"6410"</f>
        <v>6410</v>
      </c>
      <c r="B16" s="67" t="str">
        <f>"Förbrukningsinventarier/mtrl"</f>
        <v>Förbrukningsinventarier/mtrl</v>
      </c>
      <c r="C16" s="67">
        <v>-8000</v>
      </c>
      <c r="D16" s="67">
        <v>-67215</v>
      </c>
      <c r="E16" s="67">
        <v>-20000</v>
      </c>
      <c r="F16" s="73">
        <v>5</v>
      </c>
      <c r="G16" s="66"/>
    </row>
    <row r="17" spans="1:13" x14ac:dyDescent="0.5">
      <c r="A17" s="80">
        <v>6740</v>
      </c>
      <c r="B17" s="67" t="s">
        <v>42</v>
      </c>
      <c r="C17" s="67">
        <v>-7000</v>
      </c>
      <c r="D17" s="67">
        <v>-8432</v>
      </c>
      <c r="E17" s="67">
        <v>-9000</v>
      </c>
      <c r="F17" s="73"/>
      <c r="G17" s="66"/>
    </row>
    <row r="18" spans="1:13" x14ac:dyDescent="0.5">
      <c r="A18" s="81">
        <v>7690</v>
      </c>
      <c r="B18" s="67" t="s">
        <v>36</v>
      </c>
      <c r="C18" s="67">
        <v>-4000</v>
      </c>
      <c r="D18" s="67">
        <v>0</v>
      </c>
      <c r="E18" s="67">
        <v>-4000</v>
      </c>
      <c r="F18" s="73">
        <v>6</v>
      </c>
      <c r="G18" s="66"/>
    </row>
    <row r="19" spans="1:13" x14ac:dyDescent="0.5">
      <c r="A19" s="82" t="s">
        <v>16</v>
      </c>
      <c r="C19" s="67">
        <f>SUM(C12:C18)</f>
        <v>-277000</v>
      </c>
      <c r="D19" s="67">
        <f>SUM(D12:D18)</f>
        <v>-192854</v>
      </c>
      <c r="E19" s="67">
        <f>SUM(E12:E18)</f>
        <v>-506000</v>
      </c>
      <c r="F19" s="73"/>
      <c r="G19" s="66"/>
    </row>
    <row r="20" spans="1:13" ht="16" thickBot="1" x14ac:dyDescent="0.55000000000000004">
      <c r="A20" s="78"/>
      <c r="B20" s="69"/>
      <c r="C20" s="69"/>
      <c r="D20" s="69"/>
      <c r="E20" s="69"/>
      <c r="F20" s="70"/>
      <c r="G20" s="74"/>
    </row>
    <row r="21" spans="1:13" ht="16" thickBot="1" x14ac:dyDescent="0.55000000000000004">
      <c r="G21" s="66"/>
      <c r="H21" s="202" t="s">
        <v>39</v>
      </c>
      <c r="I21" s="192" t="s">
        <v>117</v>
      </c>
      <c r="J21" s="193" t="s">
        <v>129</v>
      </c>
      <c r="K21" s="203"/>
      <c r="L21" s="192"/>
      <c r="M21" s="194"/>
    </row>
    <row r="22" spans="1:13" ht="16" thickBot="1" x14ac:dyDescent="0.55000000000000004">
      <c r="A22" s="79"/>
      <c r="B22" s="131" t="s">
        <v>70</v>
      </c>
      <c r="C22" s="65"/>
      <c r="D22" s="130" t="s">
        <v>115</v>
      </c>
      <c r="E22" s="131"/>
      <c r="F22" s="132"/>
      <c r="G22" s="66"/>
      <c r="H22" s="204"/>
      <c r="I22" s="205"/>
      <c r="J22" s="206"/>
      <c r="K22" s="205"/>
      <c r="L22" s="205"/>
      <c r="M22" s="207"/>
    </row>
    <row r="23" spans="1:13" x14ac:dyDescent="0.5">
      <c r="A23" s="79" t="s">
        <v>6</v>
      </c>
      <c r="B23" s="64" t="s">
        <v>87</v>
      </c>
      <c r="C23" s="65"/>
      <c r="D23" s="165" t="s">
        <v>88</v>
      </c>
      <c r="E23" s="64"/>
      <c r="F23" s="65"/>
      <c r="G23" s="66"/>
      <c r="H23" s="208">
        <v>1</v>
      </c>
      <c r="I23" s="209" t="s">
        <v>130</v>
      </c>
      <c r="J23" s="210"/>
      <c r="K23" s="211"/>
      <c r="L23" s="211"/>
      <c r="M23" s="212"/>
    </row>
    <row r="24" spans="1:13" ht="16" thickBot="1" x14ac:dyDescent="0.55000000000000004">
      <c r="A24" s="78"/>
      <c r="B24" s="69"/>
      <c r="C24" s="70"/>
      <c r="D24" s="68"/>
      <c r="E24" s="69"/>
      <c r="F24" s="70"/>
      <c r="G24" s="66"/>
      <c r="H24" s="208"/>
      <c r="I24" s="213"/>
      <c r="J24" s="210"/>
      <c r="K24" s="211"/>
      <c r="L24" s="211"/>
      <c r="M24" s="212"/>
    </row>
    <row r="25" spans="1:13" ht="16" thickBot="1" x14ac:dyDescent="0.55000000000000004">
      <c r="A25" s="79" t="s">
        <v>7</v>
      </c>
      <c r="B25" s="64" t="s">
        <v>89</v>
      </c>
      <c r="C25" s="65"/>
      <c r="D25" s="165" t="s">
        <v>108</v>
      </c>
      <c r="E25" s="64"/>
      <c r="F25" s="65"/>
      <c r="G25" s="66"/>
      <c r="H25" s="210"/>
      <c r="I25" s="197"/>
      <c r="J25" s="210"/>
      <c r="K25" s="211"/>
      <c r="L25" s="211"/>
      <c r="M25" s="212"/>
    </row>
    <row r="26" spans="1:13" ht="16" thickBot="1" x14ac:dyDescent="0.55000000000000004">
      <c r="A26" s="78"/>
      <c r="B26" s="69"/>
      <c r="C26" s="70"/>
      <c r="D26" s="68"/>
      <c r="E26" s="69"/>
      <c r="F26" s="70"/>
      <c r="G26" s="66"/>
      <c r="H26" s="202">
        <v>2</v>
      </c>
      <c r="I26" s="195" t="s">
        <v>131</v>
      </c>
      <c r="J26" s="203"/>
      <c r="K26" s="203"/>
      <c r="L26" s="203"/>
      <c r="M26" s="200"/>
    </row>
    <row r="27" spans="1:13" x14ac:dyDescent="0.5">
      <c r="A27" s="72" t="s">
        <v>8</v>
      </c>
      <c r="B27" s="67" t="s">
        <v>15</v>
      </c>
      <c r="C27" s="73"/>
      <c r="D27" s="100" t="s">
        <v>107</v>
      </c>
      <c r="F27" s="73"/>
      <c r="G27" s="66"/>
      <c r="H27" s="208"/>
      <c r="I27" s="196"/>
      <c r="J27" s="211"/>
      <c r="K27" s="211"/>
      <c r="L27" s="211"/>
      <c r="M27" s="212"/>
    </row>
    <row r="28" spans="1:13" ht="16" thickBot="1" x14ac:dyDescent="0.55000000000000004">
      <c r="A28" s="72"/>
      <c r="C28" s="73"/>
      <c r="D28" s="100"/>
      <c r="F28" s="73"/>
      <c r="G28" s="66"/>
      <c r="H28" s="210"/>
      <c r="I28" s="196"/>
      <c r="J28" s="211"/>
      <c r="K28" s="211"/>
      <c r="L28" s="211"/>
      <c r="M28" s="212"/>
    </row>
    <row r="29" spans="1:13" x14ac:dyDescent="0.5">
      <c r="A29" s="79" t="s">
        <v>9</v>
      </c>
      <c r="B29" s="165" t="s">
        <v>24</v>
      </c>
      <c r="C29" s="65"/>
      <c r="D29" s="165" t="s">
        <v>105</v>
      </c>
      <c r="E29" s="64">
        <v>2021</v>
      </c>
      <c r="F29" s="65"/>
      <c r="G29" s="66"/>
      <c r="H29" s="202">
        <v>3</v>
      </c>
      <c r="I29" s="195" t="s">
        <v>132</v>
      </c>
      <c r="J29" s="214"/>
      <c r="K29" s="203"/>
      <c r="L29" s="203"/>
      <c r="M29" s="200"/>
    </row>
    <row r="30" spans="1:13" x14ac:dyDescent="0.5">
      <c r="A30" s="72"/>
      <c r="B30" s="67" t="s">
        <v>116</v>
      </c>
      <c r="C30" s="73"/>
      <c r="D30" s="100" t="s">
        <v>105</v>
      </c>
      <c r="E30" s="67">
        <v>2021</v>
      </c>
      <c r="F30" s="73"/>
      <c r="G30" s="66"/>
      <c r="H30" s="210"/>
      <c r="I30" s="212"/>
      <c r="J30" s="210" t="s">
        <v>59</v>
      </c>
      <c r="K30" s="211"/>
      <c r="L30" s="211"/>
      <c r="M30" s="212"/>
    </row>
    <row r="31" spans="1:13" ht="16" thickBot="1" x14ac:dyDescent="0.55000000000000004">
      <c r="A31" s="78"/>
      <c r="B31" s="100" t="s">
        <v>46</v>
      </c>
      <c r="C31" s="70"/>
      <c r="D31" s="68" t="s">
        <v>106</v>
      </c>
      <c r="E31" s="69"/>
      <c r="F31" s="70"/>
      <c r="G31" s="66"/>
      <c r="H31" s="204"/>
      <c r="I31" s="215"/>
      <c r="J31" s="206"/>
      <c r="K31" s="205"/>
      <c r="L31" s="205"/>
      <c r="M31" s="207"/>
    </row>
    <row r="32" spans="1:13" x14ac:dyDescent="0.5">
      <c r="A32" s="72" t="s">
        <v>23</v>
      </c>
      <c r="B32" s="67" t="s">
        <v>25</v>
      </c>
      <c r="C32" s="73"/>
      <c r="D32" s="100"/>
      <c r="F32" s="73"/>
      <c r="G32" s="66"/>
      <c r="H32" s="208">
        <v>4</v>
      </c>
      <c r="I32" s="197" t="s">
        <v>133</v>
      </c>
      <c r="J32" s="210"/>
      <c r="K32" s="211"/>
      <c r="L32" s="211"/>
      <c r="M32" s="212"/>
    </row>
    <row r="33" spans="1:13" ht="16" thickBot="1" x14ac:dyDescent="0.55000000000000004">
      <c r="A33" s="72"/>
      <c r="B33" s="69" t="s">
        <v>55</v>
      </c>
      <c r="C33" s="73"/>
      <c r="D33" s="100"/>
      <c r="F33" s="73"/>
      <c r="G33" s="66"/>
      <c r="H33" s="210"/>
      <c r="I33" s="197" t="s">
        <v>134</v>
      </c>
      <c r="J33" s="210"/>
      <c r="K33" s="211"/>
      <c r="L33" s="211"/>
      <c r="M33" s="212"/>
    </row>
    <row r="34" spans="1:13" ht="16" thickBot="1" x14ac:dyDescent="0.55000000000000004">
      <c r="A34" s="79" t="s">
        <v>86</v>
      </c>
      <c r="B34" s="64" t="s">
        <v>90</v>
      </c>
      <c r="C34" s="65"/>
      <c r="D34" s="130" t="s">
        <v>66</v>
      </c>
      <c r="E34" s="64"/>
      <c r="F34" s="65"/>
      <c r="G34" s="66"/>
      <c r="H34" s="210"/>
      <c r="I34" s="197" t="s">
        <v>135</v>
      </c>
      <c r="J34" s="210"/>
      <c r="K34" s="211"/>
      <c r="L34" s="211"/>
      <c r="M34" s="212"/>
    </row>
    <row r="35" spans="1:13" x14ac:dyDescent="0.5">
      <c r="A35" s="72"/>
      <c r="C35" s="73"/>
      <c r="D35" s="100"/>
      <c r="F35" s="73"/>
      <c r="G35" s="66"/>
      <c r="H35" s="202">
        <v>5</v>
      </c>
      <c r="I35" s="198" t="s">
        <v>25</v>
      </c>
      <c r="J35" s="199"/>
      <c r="K35" s="203"/>
      <c r="L35" s="203"/>
      <c r="M35" s="200"/>
    </row>
    <row r="36" spans="1:13" ht="16" thickBot="1" x14ac:dyDescent="0.55000000000000004">
      <c r="A36" s="78"/>
      <c r="B36" s="69"/>
      <c r="C36" s="70"/>
      <c r="D36" s="68"/>
      <c r="E36" s="69"/>
      <c r="F36" s="70"/>
      <c r="G36" s="66"/>
      <c r="H36" s="216"/>
      <c r="I36" s="217"/>
      <c r="J36" s="210"/>
      <c r="K36" s="211"/>
      <c r="L36" s="211"/>
      <c r="M36" s="212"/>
    </row>
    <row r="37" spans="1:13" ht="16" thickBot="1" x14ac:dyDescent="0.55000000000000004">
      <c r="G37" s="66"/>
      <c r="H37" s="204"/>
      <c r="I37" s="207"/>
      <c r="J37" s="206"/>
      <c r="K37" s="205"/>
      <c r="L37" s="205"/>
      <c r="M37" s="207"/>
    </row>
    <row r="38" spans="1:13" x14ac:dyDescent="0.5">
      <c r="A38" s="66"/>
      <c r="B38" s="66"/>
      <c r="C38" s="66"/>
      <c r="D38" s="66"/>
      <c r="G38" s="66"/>
      <c r="H38" s="202">
        <v>6</v>
      </c>
      <c r="I38" s="200" t="s">
        <v>136</v>
      </c>
      <c r="J38" s="210"/>
      <c r="K38" s="211"/>
      <c r="L38" s="211"/>
      <c r="M38" s="212"/>
    </row>
    <row r="39" spans="1:13" ht="16" thickBot="1" x14ac:dyDescent="0.55000000000000004">
      <c r="A39" s="66"/>
      <c r="G39" s="66"/>
      <c r="H39" s="206"/>
      <c r="I39" s="218"/>
      <c r="J39" s="206"/>
      <c r="K39" s="219"/>
      <c r="L39" s="205"/>
      <c r="M39" s="207"/>
    </row>
    <row r="40" spans="1:13" x14ac:dyDescent="0.5">
      <c r="G40" s="66"/>
    </row>
    <row r="41" spans="1:13" x14ac:dyDescent="0.5">
      <c r="G41" s="66"/>
    </row>
    <row r="42" spans="1:13" x14ac:dyDescent="0.5">
      <c r="G42" s="66"/>
    </row>
    <row r="43" spans="1:13" x14ac:dyDescent="0.5">
      <c r="G43" s="66"/>
    </row>
    <row r="45" spans="1:13" s="66" customFormat="1" x14ac:dyDescent="0.5">
      <c r="A45" s="67"/>
      <c r="B45" s="67"/>
      <c r="C45" s="67"/>
      <c r="D45" s="67"/>
      <c r="H45" s="201"/>
      <c r="I45" s="201"/>
      <c r="J45" s="201"/>
      <c r="K45" s="201"/>
      <c r="L45" s="201"/>
      <c r="M45" s="201"/>
    </row>
    <row r="46" spans="1:13" s="66" customFormat="1" x14ac:dyDescent="0.5">
      <c r="A46" s="67"/>
      <c r="B46" s="67"/>
      <c r="C46" s="67"/>
      <c r="D46" s="67"/>
      <c r="H46" s="201"/>
      <c r="I46" s="201"/>
      <c r="J46" s="201"/>
      <c r="K46" s="201"/>
      <c r="L46" s="201"/>
      <c r="M46" s="201"/>
    </row>
    <row r="47" spans="1:13" s="66" customFormat="1" x14ac:dyDescent="0.5">
      <c r="A47" s="67"/>
      <c r="B47" s="67"/>
      <c r="C47" s="67"/>
      <c r="D47" s="67"/>
      <c r="H47" s="201"/>
      <c r="I47" s="201"/>
      <c r="J47" s="201"/>
      <c r="K47" s="201"/>
      <c r="L47" s="201"/>
      <c r="M47" s="201"/>
    </row>
    <row r="48" spans="1:13" s="66" customFormat="1" x14ac:dyDescent="0.5">
      <c r="B48" s="67"/>
      <c r="C48" s="67"/>
      <c r="D48" s="67"/>
      <c r="H48" s="201"/>
      <c r="I48" s="201"/>
      <c r="J48" s="201"/>
      <c r="K48" s="201"/>
      <c r="L48" s="201"/>
      <c r="M48" s="201"/>
    </row>
    <row r="49" spans="2:13" s="66" customFormat="1" x14ac:dyDescent="0.5">
      <c r="B49" s="67"/>
      <c r="C49" s="67"/>
      <c r="D49" s="67"/>
      <c r="H49" s="201"/>
      <c r="I49" s="201"/>
      <c r="J49" s="201"/>
      <c r="K49" s="201"/>
      <c r="L49" s="201"/>
      <c r="M49" s="201"/>
    </row>
    <row r="50" spans="2:13" s="66" customFormat="1" x14ac:dyDescent="0.5">
      <c r="H50" s="201"/>
      <c r="I50" s="201"/>
      <c r="J50" s="201"/>
      <c r="K50" s="201"/>
      <c r="L50" s="201"/>
      <c r="M50" s="201"/>
    </row>
    <row r="51" spans="2:13" s="66" customFormat="1" x14ac:dyDescent="0.5">
      <c r="H51" s="201"/>
      <c r="I51" s="201"/>
      <c r="J51" s="201"/>
      <c r="K51" s="201"/>
      <c r="L51" s="201"/>
      <c r="M51" s="201"/>
    </row>
    <row r="52" spans="2:13" s="66" customFormat="1" x14ac:dyDescent="0.5">
      <c r="H52" s="201"/>
      <c r="I52" s="201"/>
      <c r="J52" s="201"/>
      <c r="K52" s="201"/>
      <c r="L52" s="201"/>
      <c r="M52" s="201"/>
    </row>
    <row r="53" spans="2:13" s="66" customFormat="1" x14ac:dyDescent="0.5">
      <c r="H53" s="201"/>
      <c r="I53" s="201"/>
      <c r="J53" s="201"/>
      <c r="K53" s="201"/>
      <c r="L53" s="201"/>
      <c r="M53" s="201"/>
    </row>
    <row r="54" spans="2:13" s="66" customFormat="1" x14ac:dyDescent="0.5">
      <c r="H54" s="201"/>
      <c r="I54" s="201"/>
      <c r="J54" s="201"/>
      <c r="K54" s="201"/>
      <c r="L54" s="201"/>
      <c r="M54" s="201"/>
    </row>
    <row r="55" spans="2:13" s="66" customFormat="1" x14ac:dyDescent="0.5">
      <c r="H55" s="201"/>
      <c r="I55" s="201"/>
      <c r="J55" s="201"/>
      <c r="K55" s="201"/>
      <c r="L55" s="201"/>
      <c r="M55" s="201"/>
    </row>
    <row r="56" spans="2:13" s="66" customFormat="1" x14ac:dyDescent="0.5">
      <c r="H56" s="201"/>
      <c r="I56" s="201"/>
      <c r="J56" s="201"/>
      <c r="K56" s="201"/>
      <c r="L56" s="201"/>
      <c r="M56" s="201"/>
    </row>
    <row r="57" spans="2:13" s="66" customFormat="1" x14ac:dyDescent="0.5">
      <c r="H57" s="201"/>
      <c r="I57" s="201"/>
      <c r="J57" s="201"/>
      <c r="K57" s="201"/>
      <c r="L57" s="201"/>
      <c r="M57" s="201"/>
    </row>
    <row r="58" spans="2:13" s="66" customFormat="1" x14ac:dyDescent="0.5">
      <c r="H58" s="201"/>
      <c r="I58" s="201"/>
      <c r="J58" s="201"/>
      <c r="K58" s="201"/>
      <c r="L58" s="201"/>
      <c r="M58" s="201"/>
    </row>
    <row r="59" spans="2:13" s="66" customFormat="1" x14ac:dyDescent="0.5">
      <c r="H59" s="201"/>
      <c r="I59" s="201"/>
      <c r="J59" s="201"/>
      <c r="K59" s="201"/>
      <c r="L59" s="201"/>
      <c r="M59" s="201"/>
    </row>
    <row r="60" spans="2:13" s="66" customFormat="1" x14ac:dyDescent="0.5">
      <c r="H60" s="201"/>
      <c r="I60" s="201"/>
      <c r="J60" s="201"/>
      <c r="K60" s="201"/>
      <c r="L60" s="201"/>
      <c r="M60" s="201"/>
    </row>
    <row r="61" spans="2:13" s="66" customFormat="1" x14ac:dyDescent="0.5">
      <c r="H61" s="201"/>
      <c r="I61" s="201"/>
      <c r="J61" s="201"/>
      <c r="K61" s="201"/>
      <c r="L61" s="201"/>
      <c r="M61" s="201"/>
    </row>
    <row r="62" spans="2:13" s="66" customFormat="1" x14ac:dyDescent="0.5">
      <c r="H62" s="201"/>
      <c r="I62" s="201"/>
      <c r="J62" s="201"/>
      <c r="K62" s="201"/>
      <c r="L62" s="201"/>
      <c r="M62" s="201"/>
    </row>
    <row r="63" spans="2:13" s="66" customFormat="1" x14ac:dyDescent="0.5">
      <c r="H63" s="201"/>
      <c r="I63" s="201"/>
      <c r="J63" s="201"/>
      <c r="K63" s="201"/>
      <c r="L63" s="201"/>
      <c r="M63" s="201"/>
    </row>
    <row r="64" spans="2:13" s="66" customFormat="1" x14ac:dyDescent="0.5">
      <c r="H64" s="201"/>
      <c r="I64" s="201"/>
      <c r="J64" s="201"/>
      <c r="K64" s="201"/>
      <c r="L64" s="201"/>
      <c r="M64" s="201"/>
    </row>
    <row r="65" spans="1:13" s="66" customFormat="1" x14ac:dyDescent="0.5">
      <c r="H65" s="201"/>
      <c r="I65" s="201"/>
      <c r="J65" s="201"/>
      <c r="K65" s="201"/>
      <c r="L65" s="201"/>
      <c r="M65" s="201"/>
    </row>
    <row r="66" spans="1:13" s="66" customFormat="1" x14ac:dyDescent="0.5">
      <c r="H66" s="201"/>
      <c r="I66" s="201"/>
      <c r="J66" s="201"/>
      <c r="K66" s="201"/>
      <c r="L66" s="201"/>
      <c r="M66" s="201"/>
    </row>
    <row r="67" spans="1:13" s="66" customFormat="1" x14ac:dyDescent="0.5">
      <c r="H67" s="201"/>
      <c r="I67" s="201"/>
      <c r="J67" s="201"/>
      <c r="K67" s="201"/>
      <c r="L67" s="201"/>
      <c r="M67" s="201"/>
    </row>
    <row r="68" spans="1:13" s="66" customFormat="1" x14ac:dyDescent="0.5">
      <c r="H68" s="201"/>
      <c r="I68" s="201"/>
      <c r="J68" s="201"/>
      <c r="K68" s="201"/>
      <c r="L68" s="201"/>
      <c r="M68" s="201"/>
    </row>
    <row r="69" spans="1:13" s="66" customFormat="1" x14ac:dyDescent="0.5">
      <c r="A69" s="67"/>
      <c r="H69" s="201"/>
      <c r="I69" s="201"/>
      <c r="J69" s="201"/>
      <c r="K69" s="201"/>
      <c r="L69" s="201"/>
      <c r="M69" s="201"/>
    </row>
    <row r="70" spans="1:13" s="66" customFormat="1" x14ac:dyDescent="0.5">
      <c r="A70" s="67"/>
      <c r="H70" s="201"/>
      <c r="I70" s="201"/>
      <c r="J70" s="201"/>
      <c r="K70" s="201"/>
      <c r="L70" s="201"/>
      <c r="M70" s="20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05"/>
  <sheetViews>
    <sheetView topLeftCell="A16" zoomScale="101" zoomScaleNormal="82" workbookViewId="0">
      <selection activeCell="E18" sqref="E18"/>
    </sheetView>
  </sheetViews>
  <sheetFormatPr defaultColWidth="9.1171875" defaultRowHeight="15.35" x14ac:dyDescent="0.45"/>
  <cols>
    <col min="1" max="1" width="9.5859375" style="84" customWidth="1"/>
    <col min="2" max="2" width="28.29296875" style="84" bestFit="1" customWidth="1"/>
    <col min="3" max="3" width="14.5859375" style="84" bestFit="1" customWidth="1"/>
    <col min="4" max="4" width="13.5859375" style="84" bestFit="1" customWidth="1"/>
    <col min="5" max="5" width="12.703125" style="84" customWidth="1"/>
    <col min="6" max="6" width="5" style="84" customWidth="1"/>
    <col min="7" max="7" width="9.1171875" style="83"/>
    <col min="8" max="8" width="35.17578125" style="84" customWidth="1"/>
    <col min="9" max="9" width="36" style="84" customWidth="1"/>
    <col min="10" max="10" width="7.1171875" style="84" customWidth="1"/>
    <col min="11" max="12" width="9.1171875" style="84" hidden="1" customWidth="1"/>
    <col min="13" max="16384" width="9.1171875" style="84"/>
  </cols>
  <sheetData>
    <row r="1" spans="1:6" ht="15.7" thickBot="1" x14ac:dyDescent="0.5">
      <c r="A1" s="63" t="s">
        <v>84</v>
      </c>
      <c r="B1" s="64"/>
      <c r="C1" s="64"/>
      <c r="D1" s="64"/>
      <c r="E1" s="64"/>
      <c r="F1" s="65"/>
    </row>
    <row r="2" spans="1:6" ht="15.7" thickBot="1" x14ac:dyDescent="0.5">
      <c r="A2" s="68" t="s">
        <v>17</v>
      </c>
      <c r="B2" s="69"/>
      <c r="C2" s="130" t="s">
        <v>60</v>
      </c>
      <c r="D2" s="131" t="s">
        <v>61</v>
      </c>
      <c r="E2" s="131" t="s">
        <v>62</v>
      </c>
      <c r="F2" s="132" t="s">
        <v>4</v>
      </c>
    </row>
    <row r="3" spans="1:6" x14ac:dyDescent="0.45">
      <c r="A3" s="85" t="s">
        <v>47</v>
      </c>
      <c r="B3" s="86"/>
      <c r="C3" s="86"/>
      <c r="D3" s="86"/>
      <c r="E3" s="86"/>
      <c r="F3" s="87"/>
    </row>
    <row r="4" spans="1:6" x14ac:dyDescent="0.45">
      <c r="A4" s="88" t="str">
        <f>"3022"</f>
        <v>3022</v>
      </c>
      <c r="B4" s="89" t="str">
        <f>"Intäkter Jungfruholmarna"</f>
        <v>Intäkter Jungfruholmarna</v>
      </c>
      <c r="C4" s="89">
        <v>100000</v>
      </c>
      <c r="D4" s="89">
        <v>131294</v>
      </c>
      <c r="E4" s="89">
        <v>100000</v>
      </c>
      <c r="F4" s="90">
        <v>1</v>
      </c>
    </row>
    <row r="5" spans="1:6" x14ac:dyDescent="0.45">
      <c r="A5" s="88" t="str">
        <f>"3050"</f>
        <v>3050</v>
      </c>
      <c r="B5" s="89" t="str">
        <f>"Försäljning övrigt"</f>
        <v>Försäljning övrigt</v>
      </c>
      <c r="C5" s="89"/>
      <c r="D5" s="89"/>
      <c r="E5" s="89"/>
      <c r="F5" s="90"/>
    </row>
    <row r="6" spans="1:6" x14ac:dyDescent="0.45">
      <c r="A6" s="91" t="s">
        <v>18</v>
      </c>
      <c r="B6" s="92"/>
      <c r="C6" s="92">
        <f>SUM(C4:C5)</f>
        <v>100000</v>
      </c>
      <c r="D6" s="92">
        <f>SUM(D4:D5)</f>
        <v>131294</v>
      </c>
      <c r="E6" s="92">
        <f>SUM(E4:E5)</f>
        <v>100000</v>
      </c>
      <c r="F6" s="93"/>
    </row>
    <row r="7" spans="1:6" ht="15.7" thickBot="1" x14ac:dyDescent="0.5">
      <c r="A7" s="88"/>
      <c r="B7" s="89"/>
      <c r="C7" s="89"/>
      <c r="D7" s="89"/>
      <c r="E7" s="89"/>
      <c r="F7" s="90"/>
    </row>
    <row r="8" spans="1:6" x14ac:dyDescent="0.45">
      <c r="A8" s="94" t="s">
        <v>38</v>
      </c>
      <c r="B8" s="86"/>
      <c r="C8" s="86"/>
      <c r="D8" s="86"/>
      <c r="E8" s="86"/>
      <c r="F8" s="87"/>
    </row>
    <row r="9" spans="1:6" x14ac:dyDescent="0.45">
      <c r="A9" s="88"/>
      <c r="B9" s="89"/>
      <c r="C9" s="89"/>
      <c r="D9" s="89"/>
      <c r="E9" s="89"/>
      <c r="F9" s="90"/>
    </row>
    <row r="10" spans="1:6" ht="15.7" thickBot="1" x14ac:dyDescent="0.5">
      <c r="A10" s="95"/>
      <c r="B10" s="96"/>
      <c r="C10" s="96"/>
      <c r="D10" s="96"/>
      <c r="E10" s="96"/>
      <c r="F10" s="97"/>
    </row>
    <row r="11" spans="1:6" ht="15.7" thickBot="1" x14ac:dyDescent="0.5">
      <c r="A11" s="98" t="s">
        <v>11</v>
      </c>
      <c r="B11" s="89"/>
      <c r="C11" s="130" t="s">
        <v>60</v>
      </c>
      <c r="D11" s="131" t="s">
        <v>61</v>
      </c>
      <c r="E11" s="131" t="s">
        <v>62</v>
      </c>
      <c r="F11" s="132" t="s">
        <v>4</v>
      </c>
    </row>
    <row r="12" spans="1:6" x14ac:dyDescent="0.45">
      <c r="A12" s="99">
        <v>6040</v>
      </c>
      <c r="B12" s="86" t="s">
        <v>37</v>
      </c>
      <c r="C12" s="86">
        <v>-4000</v>
      </c>
      <c r="D12" s="86">
        <v>-1681</v>
      </c>
      <c r="E12" s="86">
        <v>-4000</v>
      </c>
      <c r="F12" s="87"/>
    </row>
    <row r="13" spans="1:6" x14ac:dyDescent="0.45">
      <c r="A13" s="100" t="str">
        <f>"6080"</f>
        <v>6080</v>
      </c>
      <c r="B13" s="89" t="str">
        <f>"Reparation och underhåll"</f>
        <v>Reparation och underhåll</v>
      </c>
      <c r="C13" s="89">
        <v>-35000</v>
      </c>
      <c r="D13" s="104">
        <v>-82579</v>
      </c>
      <c r="E13" s="89">
        <v>-35000</v>
      </c>
      <c r="F13" s="90">
        <v>2</v>
      </c>
    </row>
    <row r="14" spans="1:6" x14ac:dyDescent="0.45">
      <c r="A14" s="100" t="str">
        <f>"6200"</f>
        <v>6200</v>
      </c>
      <c r="B14" s="89" t="str">
        <f>"Elavgifter"</f>
        <v>Elavgifter</v>
      </c>
      <c r="C14" s="89">
        <v>-35000</v>
      </c>
      <c r="D14" s="104">
        <v>-26079</v>
      </c>
      <c r="E14" s="89">
        <v>-30000</v>
      </c>
      <c r="F14" s="90"/>
    </row>
    <row r="15" spans="1:6" x14ac:dyDescent="0.45">
      <c r="A15" s="100" t="str">
        <f>"6201"</f>
        <v>6201</v>
      </c>
      <c r="B15" s="89" t="str">
        <f>"Vatten och Avloppsavgifter"</f>
        <v>Vatten och Avloppsavgifter</v>
      </c>
      <c r="C15" s="89">
        <v>-10000</v>
      </c>
      <c r="D15" s="89">
        <v>-13699</v>
      </c>
      <c r="E15" s="89">
        <v>-10000</v>
      </c>
      <c r="F15" s="90"/>
    </row>
    <row r="16" spans="1:6" x14ac:dyDescent="0.45">
      <c r="A16" s="100" t="str">
        <f>"6202"</f>
        <v>6202</v>
      </c>
      <c r="B16" s="89" t="str">
        <f>"Sophämtning"</f>
        <v>Sophämtning</v>
      </c>
      <c r="C16" s="89">
        <v>-6000</v>
      </c>
      <c r="D16" s="89">
        <v>-1000</v>
      </c>
      <c r="E16" s="89">
        <v>-16000</v>
      </c>
      <c r="F16" s="90"/>
    </row>
    <row r="17" spans="1:15" x14ac:dyDescent="0.45">
      <c r="A17" s="100" t="str">
        <f>"6410"</f>
        <v>6410</v>
      </c>
      <c r="B17" s="89" t="str">
        <f>"Förbrukningsinventarier/mtrl"</f>
        <v>Förbrukningsinventarier/mtrl</v>
      </c>
      <c r="C17" s="89">
        <v>-10000</v>
      </c>
      <c r="D17" s="89">
        <v>-51540</v>
      </c>
      <c r="E17" s="89">
        <v>-20000</v>
      </c>
      <c r="F17" s="90">
        <v>3</v>
      </c>
    </row>
    <row r="18" spans="1:15" x14ac:dyDescent="0.45">
      <c r="A18" s="100" t="str">
        <f>"6740"</f>
        <v>6740</v>
      </c>
      <c r="B18" s="89" t="str">
        <f>"Data och bredbands kostnader"</f>
        <v>Data och bredbands kostnader</v>
      </c>
      <c r="C18" s="89">
        <v>-15000</v>
      </c>
      <c r="D18" s="89">
        <v>-5013</v>
      </c>
      <c r="E18" s="89">
        <v>-6000</v>
      </c>
      <c r="F18" s="90">
        <v>4</v>
      </c>
    </row>
    <row r="19" spans="1:15" x14ac:dyDescent="0.45">
      <c r="A19" s="100" t="str">
        <f>"6811"</f>
        <v>6811</v>
      </c>
      <c r="B19" s="89" t="str">
        <f>"Telefon"</f>
        <v>Telefon</v>
      </c>
      <c r="C19" s="89">
        <v>-1000</v>
      </c>
      <c r="D19" s="89">
        <v>-3432</v>
      </c>
      <c r="E19" s="89">
        <v>-4000</v>
      </c>
      <c r="F19" s="90"/>
    </row>
    <row r="20" spans="1:15" x14ac:dyDescent="0.45">
      <c r="A20" s="101">
        <v>7311</v>
      </c>
      <c r="B20" s="89" t="str">
        <f>"Båtförsäkring"</f>
        <v>Båtförsäkring</v>
      </c>
      <c r="C20" s="89">
        <v>-50000</v>
      </c>
      <c r="D20" s="89">
        <v>-2156</v>
      </c>
      <c r="E20" s="89">
        <v>-3000</v>
      </c>
      <c r="F20" s="90">
        <v>5</v>
      </c>
    </row>
    <row r="21" spans="1:15" x14ac:dyDescent="0.45">
      <c r="A21" s="101">
        <v>7960</v>
      </c>
      <c r="B21" s="89" t="s">
        <v>36</v>
      </c>
      <c r="C21" s="89">
        <v>-10000</v>
      </c>
      <c r="D21" s="89">
        <v>-6600</v>
      </c>
      <c r="E21" s="89">
        <v>-10000</v>
      </c>
      <c r="F21" s="90"/>
    </row>
    <row r="22" spans="1:15" x14ac:dyDescent="0.45">
      <c r="A22" s="102" t="s">
        <v>16</v>
      </c>
      <c r="B22" s="92"/>
      <c r="C22" s="92">
        <f>SUM(C13:C20)</f>
        <v>-162000</v>
      </c>
      <c r="D22" s="92">
        <f>SUM(D13:D20)</f>
        <v>-185498</v>
      </c>
      <c r="E22" s="92">
        <f>SUM(E13:E20)</f>
        <v>-124000</v>
      </c>
      <c r="F22" s="93"/>
    </row>
    <row r="23" spans="1:15" ht="16" thickBot="1" x14ac:dyDescent="0.5">
      <c r="A23" s="103"/>
      <c r="B23" s="96"/>
      <c r="C23" s="96"/>
      <c r="D23" s="96"/>
      <c r="E23" s="96"/>
      <c r="F23" s="97"/>
      <c r="M23" s="104"/>
      <c r="N23" s="104"/>
      <c r="O23" s="105"/>
    </row>
    <row r="24" spans="1:15" ht="15.7" thickBot="1" x14ac:dyDescent="0.5"/>
    <row r="25" spans="1:15" ht="15.7" thickBot="1" x14ac:dyDescent="0.5">
      <c r="A25" s="151" t="s">
        <v>39</v>
      </c>
      <c r="B25" s="131" t="s">
        <v>70</v>
      </c>
      <c r="C25" s="138" t="s">
        <v>114</v>
      </c>
      <c r="D25" s="86"/>
      <c r="E25" s="131"/>
      <c r="F25" s="132"/>
      <c r="G25" s="151" t="s">
        <v>39</v>
      </c>
      <c r="H25" s="131" t="s">
        <v>117</v>
      </c>
      <c r="I25" s="130" t="s">
        <v>129</v>
      </c>
      <c r="J25" s="86"/>
      <c r="K25" s="131"/>
      <c r="L25" s="132"/>
    </row>
    <row r="26" spans="1:15" ht="15.7" thickBot="1" x14ac:dyDescent="0.5">
      <c r="A26" s="161"/>
      <c r="B26" s="96"/>
      <c r="C26" s="103"/>
      <c r="D26" s="96"/>
      <c r="E26" s="96"/>
      <c r="F26" s="97"/>
      <c r="G26" s="161"/>
      <c r="H26" s="96"/>
      <c r="I26" s="103"/>
      <c r="J26" s="96"/>
      <c r="K26" s="96"/>
      <c r="L26" s="97"/>
    </row>
    <row r="27" spans="1:15" ht="15.7" x14ac:dyDescent="0.45">
      <c r="A27" s="152">
        <v>1</v>
      </c>
      <c r="B27" s="156" t="s">
        <v>73</v>
      </c>
      <c r="C27" s="88" t="s">
        <v>78</v>
      </c>
      <c r="D27" s="153"/>
      <c r="E27" s="153"/>
      <c r="F27" s="90"/>
      <c r="G27" s="152">
        <v>1</v>
      </c>
      <c r="H27" s="184" t="s">
        <v>73</v>
      </c>
      <c r="I27" s="88"/>
      <c r="J27" s="89"/>
      <c r="K27" s="89"/>
      <c r="L27" s="90"/>
    </row>
    <row r="28" spans="1:15" x14ac:dyDescent="0.45">
      <c r="A28" s="152"/>
      <c r="B28" s="157" t="s">
        <v>74</v>
      </c>
      <c r="C28" s="88"/>
      <c r="D28" s="153"/>
      <c r="E28" s="153"/>
      <c r="F28" s="90"/>
      <c r="G28" s="152"/>
      <c r="H28" s="185" t="s">
        <v>137</v>
      </c>
      <c r="I28" s="88"/>
      <c r="J28" s="89"/>
      <c r="K28" s="89"/>
      <c r="L28" s="90"/>
    </row>
    <row r="29" spans="1:15" ht="16" thickBot="1" x14ac:dyDescent="0.5">
      <c r="A29" s="88"/>
      <c r="B29" s="154"/>
      <c r="C29" s="88"/>
      <c r="D29" s="153"/>
      <c r="E29" s="153"/>
      <c r="F29" s="90"/>
      <c r="G29" s="88"/>
      <c r="H29" s="106"/>
      <c r="I29" s="88"/>
      <c r="J29" s="89"/>
      <c r="K29" s="89"/>
      <c r="L29" s="90"/>
    </row>
    <row r="30" spans="1:15" x14ac:dyDescent="0.45">
      <c r="A30" s="151">
        <v>2</v>
      </c>
      <c r="B30" s="86"/>
      <c r="C30" s="85" t="s">
        <v>77</v>
      </c>
      <c r="D30" s="86"/>
      <c r="E30" s="86"/>
      <c r="F30" s="87"/>
      <c r="G30" s="151">
        <v>2</v>
      </c>
      <c r="H30" s="186" t="s">
        <v>138</v>
      </c>
      <c r="I30" s="86"/>
      <c r="J30" s="86"/>
      <c r="K30" s="86"/>
      <c r="L30" s="87"/>
    </row>
    <row r="31" spans="1:15" x14ac:dyDescent="0.45">
      <c r="A31" s="152"/>
      <c r="B31" s="153"/>
      <c r="C31" s="88" t="s">
        <v>76</v>
      </c>
      <c r="D31" s="153"/>
      <c r="E31" s="153"/>
      <c r="F31" s="90"/>
      <c r="G31" s="152"/>
      <c r="H31" s="187" t="s">
        <v>139</v>
      </c>
      <c r="I31" s="89"/>
      <c r="J31" s="89"/>
      <c r="K31" s="89"/>
      <c r="L31" s="90"/>
    </row>
    <row r="32" spans="1:15" ht="16" thickBot="1" x14ac:dyDescent="0.5">
      <c r="A32" s="103"/>
      <c r="B32" s="162"/>
      <c r="C32" s="103" t="s">
        <v>75</v>
      </c>
      <c r="D32" s="96"/>
      <c r="E32" s="96"/>
      <c r="F32" s="97"/>
      <c r="G32" s="88"/>
      <c r="H32" s="187" t="s">
        <v>140</v>
      </c>
      <c r="I32" s="89"/>
      <c r="J32" s="89"/>
      <c r="K32" s="89"/>
      <c r="L32" s="90"/>
    </row>
    <row r="33" spans="1:256" ht="15.7" x14ac:dyDescent="0.45">
      <c r="A33" s="152">
        <v>3</v>
      </c>
      <c r="B33" s="154"/>
      <c r="C33" s="88" t="s">
        <v>79</v>
      </c>
      <c r="D33" s="153"/>
      <c r="E33" s="153"/>
      <c r="F33" s="90"/>
      <c r="G33" s="151">
        <v>3</v>
      </c>
      <c r="H33" s="186" t="s">
        <v>141</v>
      </c>
      <c r="I33" s="85"/>
      <c r="J33" s="86"/>
      <c r="K33" s="86"/>
      <c r="L33" s="87"/>
    </row>
    <row r="34" spans="1:256" x14ac:dyDescent="0.45">
      <c r="A34" s="88"/>
      <c r="B34" s="153"/>
      <c r="C34" s="88" t="s">
        <v>80</v>
      </c>
      <c r="D34" s="153"/>
      <c r="E34" s="153"/>
      <c r="F34" s="90"/>
      <c r="G34" s="88"/>
      <c r="H34" s="90"/>
      <c r="I34" s="88" t="s">
        <v>59</v>
      </c>
      <c r="J34" s="89"/>
      <c r="K34" s="89"/>
      <c r="L34" s="90"/>
    </row>
    <row r="35" spans="1:256" ht="16" thickBot="1" x14ac:dyDescent="0.5">
      <c r="A35" s="152"/>
      <c r="B35" s="154"/>
      <c r="C35" s="88"/>
      <c r="D35" s="153"/>
      <c r="E35" s="153"/>
      <c r="F35" s="90"/>
      <c r="G35" s="161"/>
      <c r="H35" s="188"/>
      <c r="I35" s="103"/>
      <c r="J35" s="96"/>
      <c r="K35" s="96"/>
      <c r="L35" s="97"/>
    </row>
    <row r="36" spans="1:256" ht="15.7" x14ac:dyDescent="0.45">
      <c r="A36" s="151">
        <v>4</v>
      </c>
      <c r="B36" s="163"/>
      <c r="C36" s="85" t="s">
        <v>81</v>
      </c>
      <c r="D36" s="86"/>
      <c r="E36" s="86"/>
      <c r="F36" s="87"/>
      <c r="G36" s="152">
        <v>4</v>
      </c>
      <c r="H36" s="189" t="s">
        <v>142</v>
      </c>
      <c r="I36" s="88"/>
      <c r="J36" s="89"/>
      <c r="K36" s="89"/>
      <c r="L36" s="90"/>
    </row>
    <row r="37" spans="1:256" x14ac:dyDescent="0.45">
      <c r="A37" s="88"/>
      <c r="B37" s="153"/>
      <c r="C37" s="88"/>
      <c r="D37" s="153"/>
      <c r="E37" s="153"/>
      <c r="F37" s="90"/>
      <c r="G37" s="88"/>
      <c r="H37" s="189" t="s">
        <v>143</v>
      </c>
      <c r="I37" s="88"/>
      <c r="J37" s="89"/>
      <c r="K37" s="89"/>
      <c r="L37" s="90"/>
    </row>
    <row r="38" spans="1:256" ht="16" thickBot="1" x14ac:dyDescent="0.5">
      <c r="A38" s="103"/>
      <c r="B38" s="162"/>
      <c r="C38" s="103"/>
      <c r="D38" s="96"/>
      <c r="E38" s="96"/>
      <c r="F38" s="97"/>
      <c r="G38" s="103"/>
      <c r="H38" s="189" t="s">
        <v>144</v>
      </c>
      <c r="I38" s="88"/>
      <c r="J38" s="89"/>
      <c r="K38" s="89"/>
      <c r="L38" s="90"/>
    </row>
    <row r="39" spans="1:256" ht="15.7" x14ac:dyDescent="0.45">
      <c r="A39" s="88"/>
      <c r="B39" s="154"/>
      <c r="C39" s="88" t="s">
        <v>82</v>
      </c>
      <c r="D39" s="153"/>
      <c r="E39" s="153"/>
      <c r="F39" s="90"/>
      <c r="G39" s="85"/>
      <c r="H39" s="220" t="s">
        <v>145</v>
      </c>
      <c r="I39" s="85"/>
      <c r="J39" s="86"/>
      <c r="K39" s="86"/>
      <c r="L39" s="87"/>
    </row>
    <row r="40" spans="1:256" ht="16" x14ac:dyDescent="0.55000000000000004">
      <c r="A40" s="152">
        <v>5</v>
      </c>
      <c r="B40" s="154" t="s">
        <v>51</v>
      </c>
      <c r="C40" s="88" t="s">
        <v>83</v>
      </c>
      <c r="D40" s="153"/>
      <c r="E40" s="153"/>
      <c r="F40" s="90"/>
      <c r="G40" s="152">
        <v>5</v>
      </c>
      <c r="H40" s="190" t="s">
        <v>146</v>
      </c>
      <c r="I40" s="88"/>
      <c r="J40" s="89"/>
      <c r="K40" s="89"/>
      <c r="L40" s="90"/>
    </row>
    <row r="41" spans="1:256" ht="15.7" thickBot="1" x14ac:dyDescent="0.5">
      <c r="A41" s="152"/>
      <c r="B41" s="153"/>
      <c r="C41" s="88"/>
      <c r="D41" s="153"/>
      <c r="E41" s="153"/>
      <c r="F41" s="90"/>
      <c r="G41" s="161"/>
      <c r="H41" s="97"/>
      <c r="I41" s="103"/>
      <c r="J41" s="96"/>
      <c r="K41" s="96"/>
      <c r="L41" s="97"/>
    </row>
    <row r="42" spans="1:256" ht="15.7" x14ac:dyDescent="0.45">
      <c r="A42" s="151">
        <v>6</v>
      </c>
      <c r="B42" s="164" t="s">
        <v>40</v>
      </c>
      <c r="C42" s="85"/>
      <c r="D42" s="86"/>
      <c r="E42" s="86"/>
      <c r="F42" s="87"/>
      <c r="G42" s="151">
        <v>6</v>
      </c>
      <c r="H42" s="87"/>
      <c r="I42" s="88"/>
      <c r="J42" s="89"/>
      <c r="K42" s="89"/>
      <c r="L42" s="90"/>
    </row>
    <row r="43" spans="1:256" ht="16.350000000000001" thickBot="1" x14ac:dyDescent="0.6">
      <c r="A43" s="103"/>
      <c r="B43" s="158">
        <v>-10000</v>
      </c>
      <c r="C43" s="160" t="s">
        <v>41</v>
      </c>
      <c r="D43" s="159"/>
      <c r="E43" s="96"/>
      <c r="F43" s="97"/>
      <c r="G43" s="103"/>
      <c r="H43" s="191"/>
      <c r="I43" s="103"/>
      <c r="J43" s="159"/>
      <c r="K43" s="96"/>
      <c r="L43" s="97"/>
    </row>
    <row r="44" spans="1:256" ht="15.7" thickBot="1" x14ac:dyDescent="0.5">
      <c r="A44" s="103"/>
      <c r="B44" s="96"/>
      <c r="C44" s="96"/>
      <c r="D44" s="153"/>
      <c r="E44" s="153"/>
      <c r="F44" s="153"/>
      <c r="G44" s="155"/>
    </row>
    <row r="45" spans="1:256" ht="15.7" x14ac:dyDescent="0.45">
      <c r="A45" s="106"/>
      <c r="D45" s="153"/>
      <c r="E45" s="153"/>
      <c r="F45" s="153"/>
      <c r="G45" s="155"/>
    </row>
    <row r="47" spans="1:256" s="89" customFormat="1" ht="15.7" x14ac:dyDescent="0.45">
      <c r="A47" s="106"/>
      <c r="B47" s="84"/>
      <c r="C47" s="84"/>
      <c r="D47" s="84"/>
      <c r="E47" s="84"/>
      <c r="F47" s="84"/>
      <c r="G47" s="83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89" customFormat="1" ht="15.7" x14ac:dyDescent="0.45">
      <c r="A48" s="106"/>
      <c r="B48" s="107"/>
      <c r="C48" s="84"/>
      <c r="D48" s="84"/>
      <c r="E48" s="84"/>
      <c r="F48" s="84"/>
      <c r="G48" s="83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89" customFormat="1" x14ac:dyDescent="0.45">
      <c r="A49" s="83"/>
      <c r="B49" s="84"/>
      <c r="C49" s="84"/>
      <c r="D49" s="84"/>
      <c r="E49" s="84"/>
      <c r="F49" s="84"/>
      <c r="G49" s="83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89" customFormat="1" ht="15.7" x14ac:dyDescent="0.45">
      <c r="A50" s="83"/>
      <c r="B50" s="107"/>
      <c r="D50" s="84"/>
      <c r="E50" s="84"/>
      <c r="F50" s="84"/>
      <c r="G50" s="83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</row>
    <row r="51" spans="1:256" s="89" customFormat="1" x14ac:dyDescent="0.45">
      <c r="A51" s="83"/>
      <c r="B51" s="84"/>
      <c r="D51" s="84"/>
      <c r="E51" s="84"/>
      <c r="F51" s="84"/>
      <c r="G51" s="83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</row>
    <row r="52" spans="1:256" s="89" customFormat="1" x14ac:dyDescent="0.45">
      <c r="A52" s="83"/>
      <c r="B52" s="84"/>
      <c r="D52" s="84"/>
      <c r="E52" s="84"/>
      <c r="F52" s="84"/>
      <c r="G52" s="108"/>
    </row>
    <row r="53" spans="1:256" s="89" customFormat="1" x14ac:dyDescent="0.45">
      <c r="A53" s="83"/>
      <c r="B53" s="84"/>
      <c r="C53" s="84"/>
      <c r="D53" s="84"/>
      <c r="E53" s="84"/>
      <c r="F53" s="84"/>
      <c r="G53" s="108"/>
    </row>
    <row r="54" spans="1:256" s="89" customFormat="1" ht="15.7" x14ac:dyDescent="0.45">
      <c r="A54" s="83"/>
      <c r="B54" s="84"/>
      <c r="C54" s="106"/>
      <c r="D54" s="84"/>
      <c r="E54" s="84"/>
      <c r="F54" s="84"/>
      <c r="G54" s="108"/>
    </row>
    <row r="55" spans="1:256" s="89" customFormat="1" ht="15.7" x14ac:dyDescent="0.45">
      <c r="A55" s="83"/>
      <c r="B55" s="84"/>
      <c r="C55" s="106"/>
      <c r="D55" s="84"/>
      <c r="E55" s="84"/>
      <c r="F55" s="84"/>
      <c r="G55" s="108"/>
    </row>
    <row r="56" spans="1:256" s="89" customFormat="1" x14ac:dyDescent="0.45">
      <c r="A56" s="83"/>
      <c r="B56" s="84"/>
      <c r="C56" s="84"/>
      <c r="D56" s="84"/>
      <c r="E56" s="84"/>
      <c r="F56" s="84"/>
      <c r="G56" s="108"/>
    </row>
    <row r="57" spans="1:256" s="89" customFormat="1" x14ac:dyDescent="0.45">
      <c r="G57" s="108"/>
    </row>
    <row r="58" spans="1:256" s="89" customFormat="1" x14ac:dyDescent="0.45">
      <c r="G58" s="108"/>
    </row>
    <row r="59" spans="1:256" s="89" customFormat="1" x14ac:dyDescent="0.45">
      <c r="G59" s="108"/>
    </row>
    <row r="60" spans="1:256" s="89" customFormat="1" x14ac:dyDescent="0.45">
      <c r="G60" s="108"/>
    </row>
    <row r="61" spans="1:256" s="89" customFormat="1" x14ac:dyDescent="0.45">
      <c r="G61" s="108"/>
    </row>
    <row r="62" spans="1:256" s="89" customFormat="1" x14ac:dyDescent="0.45">
      <c r="G62" s="108"/>
    </row>
    <row r="63" spans="1:256" s="89" customFormat="1" x14ac:dyDescent="0.45">
      <c r="G63" s="108"/>
    </row>
    <row r="64" spans="1:256" s="89" customFormat="1" x14ac:dyDescent="0.45">
      <c r="G64" s="108"/>
    </row>
    <row r="65" spans="7:7" s="89" customFormat="1" x14ac:dyDescent="0.45">
      <c r="G65" s="108"/>
    </row>
    <row r="66" spans="7:7" s="89" customFormat="1" x14ac:dyDescent="0.45">
      <c r="G66" s="108"/>
    </row>
    <row r="67" spans="7:7" s="89" customFormat="1" x14ac:dyDescent="0.45">
      <c r="G67" s="108"/>
    </row>
    <row r="68" spans="7:7" s="89" customFormat="1" x14ac:dyDescent="0.45">
      <c r="G68" s="108"/>
    </row>
    <row r="69" spans="7:7" s="89" customFormat="1" x14ac:dyDescent="0.45">
      <c r="G69" s="108"/>
    </row>
    <row r="70" spans="7:7" s="89" customFormat="1" x14ac:dyDescent="0.45">
      <c r="G70" s="108"/>
    </row>
    <row r="71" spans="7:7" s="89" customFormat="1" x14ac:dyDescent="0.45">
      <c r="G71" s="108"/>
    </row>
    <row r="72" spans="7:7" s="89" customFormat="1" x14ac:dyDescent="0.45">
      <c r="G72" s="108"/>
    </row>
    <row r="73" spans="7:7" s="89" customFormat="1" x14ac:dyDescent="0.45">
      <c r="G73" s="108"/>
    </row>
    <row r="74" spans="7:7" s="89" customFormat="1" x14ac:dyDescent="0.45">
      <c r="G74" s="108"/>
    </row>
    <row r="75" spans="7:7" s="89" customFormat="1" x14ac:dyDescent="0.45">
      <c r="G75" s="108"/>
    </row>
    <row r="76" spans="7:7" s="89" customFormat="1" x14ac:dyDescent="0.45">
      <c r="G76" s="108"/>
    </row>
    <row r="77" spans="7:7" s="89" customFormat="1" x14ac:dyDescent="0.45">
      <c r="G77" s="108"/>
    </row>
    <row r="78" spans="7:7" s="89" customFormat="1" x14ac:dyDescent="0.45">
      <c r="G78" s="108"/>
    </row>
    <row r="79" spans="7:7" s="89" customFormat="1" x14ac:dyDescent="0.45">
      <c r="G79" s="108"/>
    </row>
    <row r="80" spans="7:7" s="89" customFormat="1" x14ac:dyDescent="0.45">
      <c r="G80" s="108"/>
    </row>
    <row r="81" spans="7:7" s="89" customFormat="1" x14ac:dyDescent="0.45">
      <c r="G81" s="108"/>
    </row>
    <row r="82" spans="7:7" s="89" customFormat="1" x14ac:dyDescent="0.45">
      <c r="G82" s="108"/>
    </row>
    <row r="83" spans="7:7" s="89" customFormat="1" x14ac:dyDescent="0.45">
      <c r="G83" s="108"/>
    </row>
    <row r="84" spans="7:7" s="89" customFormat="1" x14ac:dyDescent="0.45">
      <c r="G84" s="108"/>
    </row>
    <row r="85" spans="7:7" s="89" customFormat="1" x14ac:dyDescent="0.45">
      <c r="G85" s="108"/>
    </row>
    <row r="86" spans="7:7" s="89" customFormat="1" x14ac:dyDescent="0.45">
      <c r="G86" s="108"/>
    </row>
    <row r="87" spans="7:7" s="89" customFormat="1" x14ac:dyDescent="0.45">
      <c r="G87" s="108"/>
    </row>
    <row r="88" spans="7:7" s="89" customFormat="1" x14ac:dyDescent="0.45">
      <c r="G88" s="108"/>
    </row>
    <row r="89" spans="7:7" s="89" customFormat="1" x14ac:dyDescent="0.45">
      <c r="G89" s="108"/>
    </row>
    <row r="90" spans="7:7" s="89" customFormat="1" x14ac:dyDescent="0.45">
      <c r="G90" s="108"/>
    </row>
    <row r="91" spans="7:7" s="89" customFormat="1" x14ac:dyDescent="0.45">
      <c r="G91" s="108"/>
    </row>
    <row r="92" spans="7:7" s="89" customFormat="1" x14ac:dyDescent="0.45">
      <c r="G92" s="108"/>
    </row>
    <row r="93" spans="7:7" s="89" customFormat="1" x14ac:dyDescent="0.45">
      <c r="G93" s="108"/>
    </row>
    <row r="94" spans="7:7" s="89" customFormat="1" x14ac:dyDescent="0.45">
      <c r="G94" s="108"/>
    </row>
    <row r="95" spans="7:7" s="89" customFormat="1" x14ac:dyDescent="0.45">
      <c r="G95" s="108"/>
    </row>
    <row r="96" spans="7:7" s="89" customFormat="1" x14ac:dyDescent="0.45">
      <c r="G96" s="108"/>
    </row>
    <row r="97" spans="1:256" s="89" customFormat="1" x14ac:dyDescent="0.45">
      <c r="G97" s="108"/>
    </row>
    <row r="98" spans="1:256" s="89" customFormat="1" x14ac:dyDescent="0.45">
      <c r="G98" s="108"/>
    </row>
    <row r="99" spans="1:256" s="89" customFormat="1" x14ac:dyDescent="0.45">
      <c r="G99" s="108"/>
    </row>
    <row r="100" spans="1:256" s="89" customFormat="1" x14ac:dyDescent="0.45">
      <c r="G100" s="108"/>
    </row>
    <row r="101" spans="1:256" x14ac:dyDescent="0.45">
      <c r="A101" s="89"/>
      <c r="B101" s="89"/>
      <c r="C101" s="89"/>
      <c r="D101" s="89"/>
      <c r="E101" s="89"/>
      <c r="F101" s="89"/>
      <c r="G101" s="108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89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89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89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89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89"/>
      <c r="HQ101" s="89"/>
      <c r="HR101" s="89"/>
      <c r="HS101" s="89"/>
      <c r="HT101" s="89"/>
      <c r="HU101" s="89"/>
      <c r="HV101" s="89"/>
      <c r="HW101" s="89"/>
      <c r="HX101" s="89"/>
      <c r="HY101" s="89"/>
      <c r="HZ101" s="89"/>
      <c r="IA101" s="89"/>
      <c r="IB101" s="89"/>
      <c r="IC101" s="89"/>
      <c r="ID101" s="89"/>
      <c r="IE101" s="89"/>
      <c r="IF101" s="89"/>
      <c r="IG101" s="89"/>
      <c r="IH101" s="89"/>
      <c r="II101" s="89"/>
      <c r="IJ101" s="89"/>
      <c r="IK101" s="89"/>
      <c r="IL101" s="89"/>
      <c r="IM101" s="89"/>
      <c r="IN101" s="89"/>
      <c r="IO101" s="89"/>
      <c r="IP101" s="89"/>
      <c r="IQ101" s="89"/>
      <c r="IR101" s="89"/>
      <c r="IS101" s="89"/>
      <c r="IT101" s="89"/>
      <c r="IU101" s="89"/>
      <c r="IV101" s="89"/>
    </row>
    <row r="102" spans="1:256" x14ac:dyDescent="0.45">
      <c r="A102" s="89"/>
      <c r="B102" s="89"/>
      <c r="C102" s="89"/>
      <c r="D102" s="89"/>
      <c r="E102" s="89"/>
      <c r="F102" s="89"/>
      <c r="G102" s="10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  <c r="IO102" s="89"/>
      <c r="IP102" s="89"/>
      <c r="IQ102" s="89"/>
      <c r="IR102" s="89"/>
      <c r="IS102" s="89"/>
      <c r="IT102" s="89"/>
      <c r="IU102" s="89"/>
      <c r="IV102" s="89"/>
    </row>
    <row r="103" spans="1:256" x14ac:dyDescent="0.45">
      <c r="A103" s="89"/>
      <c r="B103" s="89"/>
      <c r="C103" s="89"/>
      <c r="D103" s="89"/>
      <c r="E103" s="89"/>
      <c r="F103" s="89"/>
      <c r="G103" s="108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89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89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/>
      <c r="GC103" s="89"/>
      <c r="GD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89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89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89"/>
      <c r="HP103" s="89"/>
      <c r="HQ103" s="89"/>
      <c r="HR103" s="89"/>
      <c r="HS103" s="89"/>
      <c r="HT103" s="89"/>
      <c r="HU103" s="89"/>
      <c r="HV103" s="89"/>
      <c r="HW103" s="89"/>
      <c r="HX103" s="89"/>
      <c r="HY103" s="89"/>
      <c r="HZ103" s="89"/>
      <c r="IA103" s="89"/>
      <c r="IB103" s="89"/>
      <c r="IC103" s="89"/>
      <c r="ID103" s="89"/>
      <c r="IE103" s="89"/>
      <c r="IF103" s="89"/>
      <c r="IG103" s="89"/>
      <c r="IH103" s="89"/>
      <c r="II103" s="89"/>
      <c r="IJ103" s="89"/>
      <c r="IK103" s="89"/>
      <c r="IL103" s="89"/>
      <c r="IM103" s="89"/>
      <c r="IN103" s="89"/>
      <c r="IO103" s="89"/>
      <c r="IP103" s="89"/>
      <c r="IQ103" s="89"/>
      <c r="IR103" s="89"/>
      <c r="IS103" s="89"/>
      <c r="IT103" s="89"/>
      <c r="IU103" s="89"/>
      <c r="IV103" s="89"/>
    </row>
    <row r="104" spans="1:256" x14ac:dyDescent="0.45">
      <c r="A104" s="89"/>
      <c r="B104" s="89"/>
      <c r="C104" s="89"/>
      <c r="D104" s="89"/>
      <c r="E104" s="89"/>
      <c r="F104" s="89"/>
      <c r="G104" s="108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  <c r="IO104" s="89"/>
      <c r="IP104" s="89"/>
      <c r="IQ104" s="89"/>
      <c r="IR104" s="89"/>
      <c r="IS104" s="89"/>
      <c r="IT104" s="89"/>
      <c r="IU104" s="89"/>
      <c r="IV104" s="89"/>
    </row>
    <row r="105" spans="1:256" x14ac:dyDescent="0.45">
      <c r="A105" s="89"/>
      <c r="B105" s="89"/>
      <c r="C105" s="89"/>
      <c r="D105" s="89"/>
      <c r="E105" s="89"/>
      <c r="F105" s="89"/>
      <c r="G105" s="108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  <c r="IM105" s="89"/>
      <c r="IN105" s="89"/>
      <c r="IO105" s="89"/>
      <c r="IP105" s="89"/>
      <c r="IQ105" s="89"/>
      <c r="IR105" s="89"/>
      <c r="IS105" s="89"/>
      <c r="IT105" s="89"/>
      <c r="IU105" s="89"/>
      <c r="IV105" s="8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balans 2020</vt:lpstr>
      <vt:lpstr> res20 budget 2021</vt:lpstr>
      <vt:lpstr>Varv</vt:lpstr>
      <vt:lpstr>styrelse</vt:lpstr>
      <vt:lpstr>Hamn</vt:lpstr>
      <vt:lpstr>Redaktion</vt:lpstr>
      <vt:lpstr>Långholmen</vt:lpstr>
      <vt:lpstr>Jungfrun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</cp:lastModifiedBy>
  <cp:lastPrinted>2021-02-08T10:05:17Z</cp:lastPrinted>
  <dcterms:created xsi:type="dcterms:W3CDTF">2018-01-23T09:21:08Z</dcterms:created>
  <dcterms:modified xsi:type="dcterms:W3CDTF">2021-02-08T10:07:42Z</dcterms:modified>
</cp:coreProperties>
</file>